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855"/>
  </bookViews>
  <sheets>
    <sheet name="Приложение" sheetId="1" r:id="rId1"/>
  </sheets>
  <externalReferences>
    <externalReference r:id="rId2"/>
    <externalReference r:id="rId3"/>
  </externalReferences>
  <definedNames>
    <definedName name="_xlnm.Print_Titles" localSheetId="0">Приложение!$A:$C</definedName>
    <definedName name="_xlnm.Print_Area" localSheetId="0">Приложение!$A$1:$R$66</definedName>
  </definedNames>
  <calcPr calcId="144525"/>
</workbook>
</file>

<file path=xl/calcChain.xml><?xml version="1.0" encoding="utf-8"?>
<calcChain xmlns="http://schemas.openxmlformats.org/spreadsheetml/2006/main">
  <c r="Q65" i="1" l="1"/>
  <c r="Q64" i="1"/>
  <c r="Q61" i="1"/>
  <c r="Q60" i="1"/>
  <c r="Q57" i="1"/>
  <c r="Q56" i="1"/>
  <c r="R23" i="1" l="1"/>
  <c r="R22" i="1"/>
  <c r="R21" i="1"/>
  <c r="R20" i="1" s="1"/>
  <c r="Q23" i="1"/>
  <c r="Q22" i="1"/>
  <c r="Q21" i="1"/>
  <c r="Q20" i="1" s="1"/>
  <c r="R56" i="1" l="1"/>
  <c r="R64" i="1"/>
  <c r="R65" i="1"/>
  <c r="R28" i="1" l="1"/>
  <c r="R47" i="1" s="1"/>
  <c r="Q28" i="1"/>
  <c r="Q47" i="1" s="1"/>
  <c r="P47" i="1" s="1"/>
  <c r="O65" i="1" l="1"/>
  <c r="N65" i="1"/>
  <c r="O64" i="1"/>
  <c r="L64" i="1"/>
  <c r="K64" i="1"/>
  <c r="U62" i="1"/>
  <c r="U58" i="1" s="1"/>
  <c r="T62" i="1"/>
  <c r="T66" i="1" s="1"/>
  <c r="S62" i="1"/>
  <c r="S58" i="1" s="1"/>
  <c r="O62" i="1"/>
  <c r="O58" i="1" s="1"/>
  <c r="N62" i="1"/>
  <c r="N66" i="1" s="1"/>
  <c r="M62" i="1"/>
  <c r="M58" i="1" s="1"/>
  <c r="L62" i="1"/>
  <c r="L66" i="1" s="1"/>
  <c r="K62" i="1"/>
  <c r="K58" i="1" s="1"/>
  <c r="J62" i="1"/>
  <c r="J66" i="1" s="1"/>
  <c r="I62" i="1"/>
  <c r="I58" i="1" s="1"/>
  <c r="H62" i="1"/>
  <c r="H66" i="1" s="1"/>
  <c r="G62" i="1"/>
  <c r="G58" i="1" s="1"/>
  <c r="F62" i="1"/>
  <c r="F66" i="1" s="1"/>
  <c r="E62" i="1"/>
  <c r="E58" i="1" s="1"/>
  <c r="D62" i="1"/>
  <c r="D66" i="1" s="1"/>
  <c r="U61" i="1"/>
  <c r="U65" i="1" s="1"/>
  <c r="T61" i="1"/>
  <c r="T65" i="1" s="1"/>
  <c r="S61" i="1"/>
  <c r="S65" i="1" s="1"/>
  <c r="M61" i="1"/>
  <c r="M65" i="1" s="1"/>
  <c r="L61" i="1"/>
  <c r="L65" i="1" s="1"/>
  <c r="K61" i="1"/>
  <c r="K47" i="1" s="1"/>
  <c r="K49" i="1" s="1"/>
  <c r="J61" i="1"/>
  <c r="J65" i="1" s="1"/>
  <c r="I61" i="1"/>
  <c r="I65" i="1" s="1"/>
  <c r="H61" i="1"/>
  <c r="H65" i="1" s="1"/>
  <c r="G61" i="1"/>
  <c r="G57" i="1" s="1"/>
  <c r="F61" i="1"/>
  <c r="F65" i="1" s="1"/>
  <c r="E61" i="1"/>
  <c r="E65" i="1" s="1"/>
  <c r="D61" i="1"/>
  <c r="D65" i="1" s="1"/>
  <c r="U60" i="1"/>
  <c r="T60" i="1"/>
  <c r="T64" i="1" s="1"/>
  <c r="S60" i="1"/>
  <c r="S56" i="1" s="1"/>
  <c r="N60" i="1"/>
  <c r="N64" i="1" s="1"/>
  <c r="M60" i="1"/>
  <c r="M64" i="1" s="1"/>
  <c r="J60" i="1"/>
  <c r="J64" i="1" s="1"/>
  <c r="I60" i="1"/>
  <c r="I64" i="1" s="1"/>
  <c r="H60" i="1"/>
  <c r="H64" i="1" s="1"/>
  <c r="G60" i="1"/>
  <c r="G64" i="1" s="1"/>
  <c r="F60" i="1"/>
  <c r="F64" i="1" s="1"/>
  <c r="E60" i="1"/>
  <c r="E64" i="1" s="1"/>
  <c r="D60" i="1"/>
  <c r="D64" i="1" s="1"/>
  <c r="T58" i="1"/>
  <c r="L58" i="1"/>
  <c r="H58" i="1"/>
  <c r="U57" i="1"/>
  <c r="O57" i="1"/>
  <c r="N57" i="1"/>
  <c r="L57" i="1"/>
  <c r="H57" i="1"/>
  <c r="D57" i="1"/>
  <c r="O56" i="1"/>
  <c r="L56" i="1"/>
  <c r="K56" i="1"/>
  <c r="I56" i="1"/>
  <c r="E56" i="1"/>
  <c r="V55" i="1"/>
  <c r="V53" i="1"/>
  <c r="V57" i="1" s="1"/>
  <c r="V52" i="1"/>
  <c r="K52" i="1"/>
  <c r="O47" i="1"/>
  <c r="O49" i="1" s="1"/>
  <c r="N47" i="1"/>
  <c r="I28" i="1"/>
  <c r="H28" i="1"/>
  <c r="G28" i="1"/>
  <c r="O26" i="1"/>
  <c r="N26" i="1"/>
  <c r="H26" i="1"/>
  <c r="F26" i="1"/>
  <c r="E26" i="1"/>
  <c r="T23" i="1"/>
  <c r="O23" i="1"/>
  <c r="N23" i="1"/>
  <c r="J23" i="1"/>
  <c r="I23" i="1"/>
  <c r="G23" i="1" s="1"/>
  <c r="D23" i="1"/>
  <c r="Y22" i="1"/>
  <c r="X22" i="1"/>
  <c r="W22" i="1"/>
  <c r="V22" i="1"/>
  <c r="T22" i="1"/>
  <c r="U22" i="1"/>
  <c r="P22" i="1"/>
  <c r="M22" i="1"/>
  <c r="J22" i="1"/>
  <c r="L22" i="1" s="1"/>
  <c r="I22" i="1"/>
  <c r="G22" i="1" s="1"/>
  <c r="D22" i="1"/>
  <c r="Y21" i="1"/>
  <c r="X21" i="1"/>
  <c r="W21" i="1"/>
  <c r="V21" i="1"/>
  <c r="V26" i="1" s="1"/>
  <c r="M21" i="1"/>
  <c r="M26" i="1" s="1"/>
  <c r="K21" i="1"/>
  <c r="K26" i="1" s="1"/>
  <c r="I21" i="1"/>
  <c r="I26" i="1" s="1"/>
  <c r="D21" i="1"/>
  <c r="D26" i="1" s="1"/>
  <c r="Y20" i="1"/>
  <c r="Y23" i="1" s="1"/>
  <c r="X20" i="1"/>
  <c r="W20" i="1"/>
  <c r="W23" i="1" s="1"/>
  <c r="V20" i="1"/>
  <c r="P20" i="1"/>
  <c r="M20" i="1"/>
  <c r="J20" i="1"/>
  <c r="J21" i="1" s="1"/>
  <c r="J26" i="1" s="1"/>
  <c r="I20" i="1"/>
  <c r="H20" i="1"/>
  <c r="X24" i="1" s="1"/>
  <c r="X25" i="1" s="1"/>
  <c r="F20" i="1"/>
  <c r="E20" i="1"/>
  <c r="E47" i="1" s="1"/>
  <c r="E49" i="1" s="1"/>
  <c r="J18" i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A5" i="1"/>
  <c r="I47" i="1" l="1"/>
  <c r="I49" i="1" s="1"/>
  <c r="V23" i="1"/>
  <c r="X23" i="1"/>
  <c r="M23" i="1"/>
  <c r="G56" i="1"/>
  <c r="M56" i="1"/>
  <c r="F58" i="1"/>
  <c r="J58" i="1"/>
  <c r="N58" i="1"/>
  <c r="P61" i="1"/>
  <c r="P60" i="1"/>
  <c r="G20" i="1"/>
  <c r="W24" i="1" s="1"/>
  <c r="L47" i="1"/>
  <c r="T56" i="1"/>
  <c r="F57" i="1"/>
  <c r="J57" i="1"/>
  <c r="S57" i="1"/>
  <c r="X26" i="1"/>
  <c r="G66" i="1"/>
  <c r="O66" i="1"/>
  <c r="G21" i="1"/>
  <c r="G26" i="1" s="1"/>
  <c r="F47" i="1"/>
  <c r="F52" i="1" s="1"/>
  <c r="O52" i="1"/>
  <c r="T57" i="1"/>
  <c r="D58" i="1"/>
  <c r="K66" i="1"/>
  <c r="S66" i="1"/>
  <c r="S22" i="1"/>
  <c r="U23" i="1"/>
  <c r="X27" i="1"/>
  <c r="S23" i="1"/>
  <c r="L21" i="1"/>
  <c r="L26" i="1" s="1"/>
  <c r="N52" i="1"/>
  <c r="M47" i="1"/>
  <c r="N49" i="1"/>
  <c r="V50" i="1"/>
  <c r="U56" i="1"/>
  <c r="U64" i="1"/>
  <c r="G65" i="1"/>
  <c r="K65" i="1"/>
  <c r="D20" i="1"/>
  <c r="P23" i="1"/>
  <c r="Y24" i="1"/>
  <c r="Y25" i="1" s="1"/>
  <c r="H47" i="1"/>
  <c r="L49" i="1"/>
  <c r="E52" i="1"/>
  <c r="I52" i="1"/>
  <c r="D56" i="1"/>
  <c r="F56" i="1"/>
  <c r="H56" i="1"/>
  <c r="J56" i="1"/>
  <c r="N56" i="1"/>
  <c r="V56" i="1"/>
  <c r="E57" i="1"/>
  <c r="I57" i="1"/>
  <c r="K57" i="1"/>
  <c r="M57" i="1"/>
  <c r="S64" i="1"/>
  <c r="E66" i="1"/>
  <c r="I66" i="1"/>
  <c r="M66" i="1"/>
  <c r="U66" i="1"/>
  <c r="D47" i="1" l="1"/>
  <c r="F49" i="1"/>
  <c r="P65" i="1"/>
  <c r="P64" i="1"/>
  <c r="L52" i="1"/>
  <c r="J47" i="1"/>
  <c r="H52" i="1"/>
  <c r="G47" i="1"/>
  <c r="H49" i="1"/>
  <c r="Y27" i="1"/>
  <c r="Y26" i="1"/>
  <c r="W26" i="1" s="1"/>
  <c r="D52" i="1"/>
  <c r="D49" i="1"/>
  <c r="Q26" i="1"/>
  <c r="T21" i="1"/>
  <c r="P21" i="1"/>
  <c r="M49" i="1"/>
  <c r="M52" i="1"/>
  <c r="W25" i="1"/>
  <c r="W27" i="1" s="1"/>
  <c r="R26" i="1"/>
  <c r="U21" i="1"/>
  <c r="P57" i="1" l="1"/>
  <c r="P56" i="1"/>
  <c r="P26" i="1"/>
  <c r="J52" i="1"/>
  <c r="J49" i="1"/>
  <c r="U26" i="1"/>
  <c r="U20" i="1"/>
  <c r="G49" i="1"/>
  <c r="G52" i="1"/>
  <c r="T26" i="1"/>
  <c r="S21" i="1"/>
  <c r="S26" i="1" s="1"/>
  <c r="T20" i="1"/>
  <c r="AB24" i="1" l="1"/>
  <c r="U47" i="1"/>
  <c r="AA24" i="1"/>
  <c r="T47" i="1"/>
  <c r="S20" i="1"/>
  <c r="Z24" i="1" s="1"/>
  <c r="AA27" i="1" l="1"/>
  <c r="AA26" i="1"/>
  <c r="AA25" i="1"/>
  <c r="U49" i="1"/>
  <c r="U52" i="1"/>
  <c r="T52" i="1"/>
  <c r="S47" i="1"/>
  <c r="T49" i="1"/>
  <c r="AB27" i="1"/>
  <c r="AB26" i="1"/>
  <c r="AB25" i="1"/>
  <c r="Z26" i="1" l="1"/>
  <c r="S49" i="1"/>
  <c r="S52" i="1"/>
  <c r="Z25" i="1"/>
  <c r="Z27" i="1"/>
</calcChain>
</file>

<file path=xl/sharedStrings.xml><?xml version="1.0" encoding="utf-8"?>
<sst xmlns="http://schemas.openxmlformats.org/spreadsheetml/2006/main" count="169" uniqueCount="99">
  <si>
    <t>№ п/п</t>
  </si>
  <si>
    <t>Показатели производственной деятельности</t>
  </si>
  <si>
    <t xml:space="preserve"> Ед. измерения</t>
  </si>
  <si>
    <t>Факт 2013 года</t>
  </si>
  <si>
    <t>Факт 2014 года</t>
  </si>
  <si>
    <t>Факт 2015 года</t>
  </si>
  <si>
    <t>Ожидаемый 2016 год</t>
  </si>
  <si>
    <t>Период регулирования 2018 год</t>
  </si>
  <si>
    <t>2013 год всего</t>
  </si>
  <si>
    <t>1 полугодие</t>
  </si>
  <si>
    <t>2 полугодие</t>
  </si>
  <si>
    <t>2014 год всего</t>
  </si>
  <si>
    <t>2015 год всего</t>
  </si>
  <si>
    <t>2016 год всего</t>
  </si>
  <si>
    <t>2018 год всего</t>
  </si>
  <si>
    <t>сентябрь-декабрь</t>
  </si>
  <si>
    <t>1.</t>
  </si>
  <si>
    <t>Показатели эффективности</t>
  </si>
  <si>
    <t>1.1.</t>
  </si>
  <si>
    <t>Объем реализации услуг, в том числе по потребителям:</t>
  </si>
  <si>
    <t>тыс.куб.м.</t>
  </si>
  <si>
    <t>1.1.1.</t>
  </si>
  <si>
    <t xml:space="preserve"> - населению </t>
  </si>
  <si>
    <t>1.1.2.</t>
  </si>
  <si>
    <t xml:space="preserve"> - бюджетным потребителям</t>
  </si>
  <si>
    <t>1.1.3.</t>
  </si>
  <si>
    <t xml:space="preserve"> - прочим потребителям</t>
  </si>
  <si>
    <t>2.</t>
  </si>
  <si>
    <t>Показатели водопотребления ( заполняется в отношении организаций, оказывающих услуги в сфере водоснабжения)</t>
  </si>
  <si>
    <t>2.1.</t>
  </si>
  <si>
    <t>Доля воды, отпущенной по показаниям приборов учета</t>
  </si>
  <si>
    <t>%</t>
  </si>
  <si>
    <t>2.2.</t>
  </si>
  <si>
    <t>Удельное потребление воды населением</t>
  </si>
  <si>
    <t>куб. м/час</t>
  </si>
  <si>
    <t>Утвержденное количество теплоты, необходимой для приготовления одного кубического метра горячей воды, предлагаемое для расчета</t>
  </si>
  <si>
    <t>Гкал/куб.м.</t>
  </si>
  <si>
    <t>№п/п</t>
  </si>
  <si>
    <t xml:space="preserve">Наименование мероприятия </t>
  </si>
  <si>
    <t>Финансовые потребности на реализацию мероприятий, тыс. руб.</t>
  </si>
  <si>
    <t>Ожидаемый эффект</t>
  </si>
  <si>
    <t>наименование показателя</t>
  </si>
  <si>
    <t>тыс.руб./%</t>
  </si>
  <si>
    <t>Мероприятия по капитальному ремонту</t>
  </si>
  <si>
    <t>Мероприятия по реконструкции</t>
  </si>
  <si>
    <t>3.</t>
  </si>
  <si>
    <t>Иные мероприятия, направленные на совершенствование организации производства</t>
  </si>
  <si>
    <t>4.</t>
  </si>
  <si>
    <t>Мероприятия по энергосбережению и повышению энергетической эффективности</t>
  </si>
  <si>
    <t>5.</t>
  </si>
  <si>
    <t>Итого:</t>
  </si>
  <si>
    <t>№№ п/п</t>
  </si>
  <si>
    <t>Наименование мероприятия</t>
  </si>
  <si>
    <t>Период регулирования 2016 год</t>
  </si>
  <si>
    <t>Затраты, относимые на себестоимость</t>
  </si>
  <si>
    <t>тыс. руб.</t>
  </si>
  <si>
    <t>Прибыль</t>
  </si>
  <si>
    <t>Рентабельность</t>
  </si>
  <si>
    <t>Бюджетные субсидии</t>
  </si>
  <si>
    <t>Выпадающие доходы</t>
  </si>
  <si>
    <t>6.</t>
  </si>
  <si>
    <t>Итого необходимая валовая выручка ОКК на период регулирования</t>
  </si>
  <si>
    <t>7.</t>
  </si>
  <si>
    <t>Тариф организации коммунального комплекса</t>
  </si>
  <si>
    <t>руб./куб.м.</t>
  </si>
  <si>
    <t>в том числе по потребителям:</t>
  </si>
  <si>
    <t>7.1.</t>
  </si>
  <si>
    <t xml:space="preserve"> - населению</t>
  </si>
  <si>
    <t>компонент на тепловую энергию</t>
  </si>
  <si>
    <t>руб./Гкал</t>
  </si>
  <si>
    <t>компонент на теплоноситель</t>
  </si>
  <si>
    <t>одноставочный тариф</t>
  </si>
  <si>
    <t>7.2.</t>
  </si>
  <si>
    <t>7.3.</t>
  </si>
  <si>
    <t>Раздел 1. Паспорт производственной программы</t>
  </si>
  <si>
    <t xml:space="preserve">Регулируемая организация, в отношении которой разработана производственная программа
</t>
  </si>
  <si>
    <t xml:space="preserve">Уполномоченного органа, утверждающий производственную программу
</t>
  </si>
  <si>
    <t xml:space="preserve">Период реализации производственной программы
</t>
  </si>
  <si>
    <t>Наименование полное / сокращенное</t>
  </si>
  <si>
    <t>Региональная служба по тарифам и ценам Камчатского края</t>
  </si>
  <si>
    <t>2018 год</t>
  </si>
  <si>
    <t xml:space="preserve">2. </t>
  </si>
  <si>
    <t>Юридический адрес/фактический адрес</t>
  </si>
  <si>
    <t xml:space="preserve">Ленинградская ул., 118, г.Петропавловск-Камчатский, 683003
</t>
  </si>
  <si>
    <t>ПАО "Камчатскэнерго" / ПАО "Камчатскэнерго"</t>
  </si>
  <si>
    <t>Уполномоченного органа, утверждающий производственную программу</t>
  </si>
  <si>
    <t>Ленинградская ул., 118, г.Петропавловск-Камчатский, 683003</t>
  </si>
  <si>
    <t>Период реализации производственной программы</t>
  </si>
  <si>
    <t>Приложение 1</t>
  </si>
  <si>
    <t xml:space="preserve">к постановлению Региональной службы </t>
  </si>
  <si>
    <t xml:space="preserve">по тарифам и ценам Камчатского края </t>
  </si>
  <si>
    <t>ул. Набережная, д .10, г. Петропавловск-Камчатский, Камчатский край 683000/ул. Набережная, д .10, г. Петропавловск-Камчатский, Камчатский край 683000</t>
  </si>
  <si>
    <t>Раздел 2. Обеспечение прогнозируемого обьема и качества услуг</t>
  </si>
  <si>
    <t>Раздел 3. План мероприятий по повышению эффективности деятельности организации коммунального комплекса</t>
  </si>
  <si>
    <t>Раздел 4. Расчет финансовых потребностей</t>
  </si>
  <si>
    <t>от ХХ.ХХ.2018 № ХХ</t>
  </si>
  <si>
    <t>Производственная программа ПАО "Камчатскэнерго" по оказанию услуг горячего водоснабжения в закрытой системе горячего водоснабжения потребителям Елизовского городского поселения Елизовского муниципального  на 2019 год</t>
  </si>
  <si>
    <t>Период регулирования 2019 год</t>
  </si>
  <si>
    <t>2019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</si>
</sst>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%"/>
    <numFmt numFmtId="167" formatCode="0.00000"/>
    <numFmt numFmtId="168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5"/>
      <color rgb="FF0000FF"/>
      <name val="Times New Roman"/>
      <family val="1"/>
      <charset val="204"/>
    </font>
    <font>
      <sz val="15"/>
      <color rgb="FF0000FF"/>
      <name val="Calibri"/>
      <family val="2"/>
      <charset val="204"/>
      <scheme val="minor"/>
    </font>
    <font>
      <sz val="9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9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 tint="4.9989318521683403E-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5" fillId="5" borderId="0" applyNumberFormat="0" applyBorder="0" applyAlignment="0" applyProtection="0"/>
    <xf numFmtId="0" fontId="36" fillId="22" borderId="10" applyNumberFormat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9" borderId="10" applyNumberFormat="0" applyAlignment="0" applyProtection="0"/>
    <xf numFmtId="0" fontId="44" fillId="0" borderId="15" applyNumberFormat="0" applyFill="0" applyAlignment="0" applyProtection="0"/>
    <xf numFmtId="0" fontId="45" fillId="24" borderId="0" applyNumberFormat="0" applyBorder="0" applyAlignment="0" applyProtection="0"/>
    <xf numFmtId="0" fontId="46" fillId="25" borderId="16" applyNumberFormat="0" applyFont="0" applyAlignment="0" applyProtection="0"/>
    <xf numFmtId="0" fontId="47" fillId="22" borderId="17" applyNumberFormat="0" applyAlignment="0" applyProtection="0"/>
    <xf numFmtId="0" fontId="48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52" fillId="0" borderId="0"/>
    <xf numFmtId="0" fontId="52" fillId="0" borderId="0"/>
    <xf numFmtId="0" fontId="52" fillId="0" borderId="0"/>
    <xf numFmtId="0" fontId="51" fillId="0" borderId="0"/>
  </cellStyleXfs>
  <cellXfs count="13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2" fillId="0" borderId="0" xfId="0" applyFont="1" applyFill="1" applyAlignme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wrapText="1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2" fillId="0" borderId="2" xfId="0" applyFont="1" applyBorder="1" applyAlignment="1">
      <alignment wrapText="1"/>
    </xf>
    <xf numFmtId="0" fontId="4" fillId="0" borderId="8" xfId="0" applyFont="1" applyFill="1" applyBorder="1"/>
    <xf numFmtId="3" fontId="14" fillId="0" borderId="2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8" xfId="0" applyFont="1" applyFill="1" applyBorder="1"/>
    <xf numFmtId="0" fontId="16" fillId="0" borderId="0" xfId="0" applyFont="1" applyFill="1" applyBorder="1"/>
    <xf numFmtId="3" fontId="29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168" fontId="29" fillId="0" borderId="1" xfId="0" applyNumberFormat="1" applyFont="1" applyFill="1" applyBorder="1" applyAlignment="1">
      <alignment horizontal="center" vertical="center"/>
    </xf>
    <xf numFmtId="3" fontId="31" fillId="0" borderId="1" xfId="0" applyNumberFormat="1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Денежный [0] 2" xfId="43"/>
    <cellStyle name="Обычный" xfId="0" builtinId="0"/>
    <cellStyle name="Обычный 2" xfId="44"/>
    <cellStyle name="Обычный 3" xfId="45"/>
    <cellStyle name="Обычный 3 2" xfId="46"/>
    <cellStyle name="Обычный 4" xfId="4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%2014%2012%20&#1088;&#1072;&#1089;&#1095;&#1077;&#1090;%20&#1043;&#1042;&#1057;%20&#1079;&#1072;&#1082;&#1088;/&#1058;&#1047;_&#1043;&#1042;&#1057;_&#1047;&#1040;&#1050;&#1056;&#1067;&#1058;&#1040;&#1071;_2017_&#1045;&#1083;&#1080;&#1079;&#1086;&#1074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uynelEN\AppData\Local\Microsoft\Windows\Temporary%20Internet%20Files\Content.Outlook\UVCMKM58\&#1043;&#1042;&#1057;_&#1047;&#1040;&#1050;&#1056;&#1067;&#1058;&#1040;&#1071;_2018_&#1045;&#1083;&#1080;&#1079;&#1086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-1"/>
      <sheetName val="уб-2"/>
      <sheetName val="окт-1"/>
      <sheetName val="окт-2"/>
      <sheetName val="кавал-1"/>
      <sheetName val="кавал-2"/>
      <sheetName val="апач-1"/>
      <sheetName val="апач-2"/>
      <sheetName val="елиз-1 "/>
      <sheetName val="елиз-2"/>
      <sheetName val="Баланс ВС"/>
      <sheetName val="Смета расходов"/>
      <sheetName val="Теплоэнергия"/>
      <sheetName val="Теплоноситель"/>
      <sheetName val="СВОД районы"/>
      <sheetName val="СВОД районы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Елизовское ГП</v>
          </cell>
        </row>
        <row r="19">
          <cell r="E19">
            <v>159.02099999999999</v>
          </cell>
          <cell r="F19">
            <v>73.540999999999997</v>
          </cell>
          <cell r="J19">
            <v>130.316</v>
          </cell>
          <cell r="K19">
            <v>78.025999999999996</v>
          </cell>
        </row>
        <row r="55">
          <cell r="I55">
            <v>7.7410000000000007E-2</v>
          </cell>
          <cell r="J55">
            <v>7.7410000000000007E-2</v>
          </cell>
          <cell r="K55">
            <v>7.7410000000000007E-2</v>
          </cell>
        </row>
        <row r="57">
          <cell r="D57" t="e">
            <v>#REF!</v>
          </cell>
          <cell r="E57">
            <v>4314.1099999999997</v>
          </cell>
          <cell r="F57">
            <v>5005.13</v>
          </cell>
          <cell r="I57">
            <v>5093.0085885707158</v>
          </cell>
          <cell r="J57">
            <v>5005.13</v>
          </cell>
          <cell r="K57">
            <v>5239.78</v>
          </cell>
          <cell r="L57">
            <v>5797.1236894181739</v>
          </cell>
          <cell r="O57">
            <v>6306.3266076433993</v>
          </cell>
          <cell r="U57">
            <v>6842.3971184318698</v>
          </cell>
          <cell r="V57">
            <v>6733.1612413799994</v>
          </cell>
          <cell r="W57">
            <v>7036.1534972420986</v>
          </cell>
        </row>
        <row r="59">
          <cell r="D59">
            <v>7.6623601018223102</v>
          </cell>
          <cell r="E59">
            <v>7.09</v>
          </cell>
          <cell r="F59">
            <v>8.9</v>
          </cell>
          <cell r="I59">
            <v>8.0623920284916153</v>
          </cell>
          <cell r="J59">
            <v>7.98</v>
          </cell>
          <cell r="K59">
            <v>8.1999999999999993</v>
          </cell>
          <cell r="L59">
            <v>8.5102703786820904</v>
          </cell>
          <cell r="M59">
            <v>8.1999999999999993</v>
          </cell>
          <cell r="N59">
            <v>9.11</v>
          </cell>
          <cell r="O59">
            <v>8.3619014438846673</v>
          </cell>
          <cell r="U59">
            <v>10.102550622618468</v>
          </cell>
          <cell r="V59">
            <v>9.9483113099999976</v>
          </cell>
          <cell r="W59">
            <v>10.395985318949997</v>
          </cell>
        </row>
        <row r="63">
          <cell r="D63" t="e">
            <v>#REF!</v>
          </cell>
          <cell r="E63">
            <v>310.37</v>
          </cell>
          <cell r="F63">
            <v>360.76</v>
          </cell>
          <cell r="I63">
            <v>402.31347947125397</v>
          </cell>
          <cell r="J63">
            <v>395.43</v>
          </cell>
          <cell r="K63">
            <v>413.81</v>
          </cell>
          <cell r="L63">
            <v>456.01809281015858</v>
          </cell>
          <cell r="M63">
            <v>440.3</v>
          </cell>
          <cell r="N63">
            <v>486.4</v>
          </cell>
          <cell r="O63">
            <v>495.06305626500728</v>
          </cell>
          <cell r="P63">
            <v>486.4</v>
          </cell>
          <cell r="Q63">
            <v>509.26</v>
          </cell>
          <cell r="U63">
            <v>539.39438372093014</v>
          </cell>
          <cell r="V63">
            <v>531.16</v>
          </cell>
          <cell r="W63">
            <v>555.05999999999995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-1"/>
      <sheetName val="уб-2"/>
      <sheetName val="окт-1"/>
      <sheetName val="окт-2"/>
      <sheetName val="кавал-1"/>
      <sheetName val="кавал-2"/>
      <sheetName val="апач-1"/>
      <sheetName val="апач-2"/>
      <sheetName val="елиз-1 "/>
      <sheetName val="елиз-2"/>
      <sheetName val="Баланс ВС"/>
      <sheetName val="Смета расходов"/>
      <sheetName val="Теплоэнергия"/>
      <sheetName val="Теплоноситель"/>
      <sheetName val="СВОД районы"/>
      <sheetName val="СВОД районы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U14">
            <v>92.79</v>
          </cell>
          <cell r="V14">
            <v>50.71</v>
          </cell>
        </row>
        <row r="15">
          <cell r="U15">
            <v>13.6</v>
          </cell>
          <cell r="V15">
            <v>8.5</v>
          </cell>
        </row>
        <row r="16">
          <cell r="U16">
            <v>1.6</v>
          </cell>
          <cell r="V16">
            <v>0.8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</sheetPr>
  <dimension ref="A1:AF68"/>
  <sheetViews>
    <sheetView tabSelected="1" view="pageBreakPreview" topLeftCell="A13" zoomScale="90" zoomScaleNormal="100" zoomScaleSheetLayoutView="90" workbookViewId="0">
      <selection activeCell="Q64" sqref="Q64:Q65"/>
    </sheetView>
  </sheetViews>
  <sheetFormatPr defaultColWidth="9.140625" defaultRowHeight="15.75" x14ac:dyDescent="0.25"/>
  <cols>
    <col min="1" max="1" width="7.7109375" style="1" customWidth="1"/>
    <col min="2" max="2" width="33.85546875" style="1" customWidth="1"/>
    <col min="3" max="3" width="20.28515625" style="2" customWidth="1"/>
    <col min="4" max="15" width="13.85546875" style="1" hidden="1" customWidth="1"/>
    <col min="16" max="18" width="13.85546875" style="1" customWidth="1"/>
    <col min="19" max="19" width="13.85546875" style="1" hidden="1" customWidth="1"/>
    <col min="20" max="20" width="13.28515625" style="1" hidden="1" customWidth="1"/>
    <col min="21" max="21" width="14.5703125" style="1" hidden="1" customWidth="1"/>
    <col min="22" max="22" width="18.42578125" style="1" hidden="1" customWidth="1"/>
    <col min="23" max="25" width="9.5703125" style="3" hidden="1" customWidth="1"/>
    <col min="26" max="28" width="0" style="3" hidden="1" customWidth="1"/>
    <col min="29" max="29" width="9.140625" style="3"/>
    <col min="30" max="16384" width="9.140625" style="1"/>
  </cols>
  <sheetData>
    <row r="1" spans="1:29" x14ac:dyDescent="0.25">
      <c r="Q1" s="107" t="s">
        <v>88</v>
      </c>
      <c r="R1" s="107"/>
    </row>
    <row r="2" spans="1:29" x14ac:dyDescent="0.25">
      <c r="P2" s="107" t="s">
        <v>89</v>
      </c>
      <c r="Q2" s="107"/>
      <c r="R2" s="107"/>
    </row>
    <row r="3" spans="1:29" x14ac:dyDescent="0.25">
      <c r="P3" s="107" t="s">
        <v>90</v>
      </c>
      <c r="Q3" s="107"/>
      <c r="R3" s="107"/>
    </row>
    <row r="4" spans="1:29" x14ac:dyDescent="0.25">
      <c r="P4" s="107" t="s">
        <v>95</v>
      </c>
      <c r="Q4" s="107"/>
      <c r="R4" s="107"/>
    </row>
    <row r="5" spans="1:29" s="7" customFormat="1" ht="34.5" customHeight="1" x14ac:dyDescent="0.25">
      <c r="A5" s="128" t="str">
        <f>'[1]елиз-1 '!A2</f>
        <v>Елизовское ГП</v>
      </c>
      <c r="B5" s="129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W5" s="8"/>
      <c r="X5" s="8"/>
      <c r="Y5" s="8"/>
      <c r="Z5" s="8"/>
      <c r="AA5" s="8"/>
      <c r="AB5" s="8"/>
      <c r="AC5" s="8"/>
    </row>
    <row r="6" spans="1:29" s="12" customFormat="1" ht="46.5" customHeight="1" x14ac:dyDescent="0.25">
      <c r="A6" s="130" t="s">
        <v>96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9"/>
      <c r="T6" s="9"/>
      <c r="U6" s="9"/>
      <c r="V6" s="10"/>
      <c r="W6" s="11"/>
      <c r="X6" s="11"/>
      <c r="Y6" s="11"/>
      <c r="Z6" s="11"/>
      <c r="AA6" s="11"/>
      <c r="AB6" s="11"/>
      <c r="AC6" s="11"/>
    </row>
    <row r="7" spans="1:29" s="12" customFormat="1" ht="14.25" customHeight="1" x14ac:dyDescent="0.25">
      <c r="A7" s="102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11"/>
      <c r="X7" s="11"/>
      <c r="Y7" s="11"/>
      <c r="Z7" s="11"/>
      <c r="AA7" s="11"/>
      <c r="AB7" s="11"/>
      <c r="AC7" s="11"/>
    </row>
    <row r="8" spans="1:29" s="12" customFormat="1" ht="18" customHeight="1" x14ac:dyDescent="0.25">
      <c r="A8" s="130" t="s">
        <v>74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01"/>
      <c r="T8" s="101"/>
      <c r="U8" s="101"/>
      <c r="V8" s="102"/>
      <c r="W8" s="11"/>
      <c r="X8" s="11"/>
      <c r="Y8" s="11"/>
      <c r="Z8" s="11"/>
      <c r="AA8" s="11"/>
      <c r="AB8" s="11"/>
      <c r="AC8" s="11"/>
    </row>
    <row r="9" spans="1:29" s="12" customFormat="1" ht="13.5" customHeight="1" x14ac:dyDescent="0.25">
      <c r="A9" s="102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1"/>
      <c r="X9" s="11"/>
      <c r="Y9" s="11"/>
      <c r="Z9" s="11"/>
      <c r="AA9" s="11"/>
      <c r="AB9" s="11"/>
      <c r="AC9" s="11"/>
    </row>
    <row r="10" spans="1:29" s="12" customFormat="1" ht="75" customHeight="1" x14ac:dyDescent="0.25">
      <c r="A10" s="103" t="s">
        <v>0</v>
      </c>
      <c r="B10" s="106"/>
      <c r="C10" s="106" t="s">
        <v>75</v>
      </c>
      <c r="D10" s="106"/>
      <c r="E10" s="106" t="s">
        <v>76</v>
      </c>
      <c r="F10" s="106"/>
      <c r="G10" s="106" t="s">
        <v>77</v>
      </c>
      <c r="H10" s="106"/>
      <c r="I10" s="106"/>
      <c r="J10" s="106"/>
      <c r="K10" s="106"/>
      <c r="L10" s="106"/>
      <c r="M10" s="106"/>
      <c r="N10" s="106"/>
      <c r="O10" s="106"/>
      <c r="P10" s="132" t="s">
        <v>85</v>
      </c>
      <c r="Q10" s="133"/>
      <c r="R10" s="106" t="s">
        <v>87</v>
      </c>
      <c r="S10" s="101"/>
      <c r="T10" s="101"/>
      <c r="U10" s="101"/>
      <c r="V10" s="102"/>
      <c r="W10" s="11"/>
      <c r="X10" s="11"/>
      <c r="Y10" s="11"/>
      <c r="Z10" s="11"/>
      <c r="AA10" s="11"/>
      <c r="AB10" s="11"/>
      <c r="AC10" s="11"/>
    </row>
    <row r="11" spans="1:29" s="12" customFormat="1" ht="84" customHeight="1" x14ac:dyDescent="0.25">
      <c r="A11" s="103" t="s">
        <v>16</v>
      </c>
      <c r="B11" s="106" t="s">
        <v>78</v>
      </c>
      <c r="C11" s="106" t="s">
        <v>84</v>
      </c>
      <c r="D11" s="106"/>
      <c r="E11" s="106" t="s">
        <v>79</v>
      </c>
      <c r="F11" s="106"/>
      <c r="G11" s="106" t="s">
        <v>80</v>
      </c>
      <c r="H11" s="106"/>
      <c r="I11" s="106"/>
      <c r="J11" s="106"/>
      <c r="K11" s="106"/>
      <c r="L11" s="106"/>
      <c r="M11" s="106"/>
      <c r="N11" s="106"/>
      <c r="O11" s="106"/>
      <c r="P11" s="132" t="s">
        <v>79</v>
      </c>
      <c r="Q11" s="133"/>
      <c r="R11" s="134">
        <v>2019</v>
      </c>
      <c r="S11" s="101"/>
      <c r="T11" s="101"/>
      <c r="U11" s="101"/>
      <c r="V11" s="102"/>
      <c r="W11" s="11"/>
      <c r="X11" s="11"/>
      <c r="Y11" s="11"/>
      <c r="Z11" s="11"/>
      <c r="AA11" s="11"/>
      <c r="AB11" s="11"/>
      <c r="AC11" s="11"/>
    </row>
    <row r="12" spans="1:29" s="12" customFormat="1" ht="87" customHeight="1" x14ac:dyDescent="0.25">
      <c r="A12" s="103" t="s">
        <v>81</v>
      </c>
      <c r="B12" s="106" t="s">
        <v>82</v>
      </c>
      <c r="C12" s="106" t="s">
        <v>91</v>
      </c>
      <c r="D12" s="106"/>
      <c r="E12" s="106" t="s">
        <v>83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32" t="s">
        <v>86</v>
      </c>
      <c r="Q12" s="133"/>
      <c r="R12" s="135"/>
      <c r="S12" s="101"/>
      <c r="T12" s="101"/>
      <c r="U12" s="101"/>
      <c r="V12" s="102"/>
      <c r="W12" s="11"/>
      <c r="X12" s="11"/>
      <c r="Y12" s="11"/>
      <c r="Z12" s="11"/>
      <c r="AA12" s="11"/>
      <c r="AB12" s="11"/>
      <c r="AC12" s="11"/>
    </row>
    <row r="13" spans="1:29" s="12" customFormat="1" ht="46.5" customHeight="1" x14ac:dyDescent="0.25">
      <c r="A13" s="102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  <c r="W13" s="11"/>
      <c r="X13" s="11"/>
      <c r="Y13" s="11"/>
      <c r="Z13" s="11"/>
      <c r="AA13" s="11"/>
      <c r="AB13" s="11"/>
      <c r="AC13" s="11"/>
    </row>
    <row r="14" spans="1:29" s="15" customFormat="1" ht="22.5" customHeight="1" x14ac:dyDescent="0.25">
      <c r="A14" s="113" t="s">
        <v>92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9"/>
      <c r="T14" s="9"/>
      <c r="U14" s="9"/>
      <c r="V14" s="13"/>
      <c r="W14" s="14"/>
      <c r="X14" s="14"/>
      <c r="Y14" s="14"/>
      <c r="Z14" s="14"/>
      <c r="AA14" s="14"/>
      <c r="AB14" s="14"/>
      <c r="AC14" s="14"/>
    </row>
    <row r="15" spans="1:29" s="15" customFormat="1" ht="20.25" customHeight="1" x14ac:dyDescent="0.25">
      <c r="A15" s="16"/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4"/>
      <c r="X15" s="14"/>
      <c r="Y15" s="14"/>
      <c r="Z15" s="14"/>
      <c r="AA15" s="14"/>
      <c r="AB15" s="14"/>
      <c r="AC15" s="14"/>
    </row>
    <row r="16" spans="1:29" s="12" customFormat="1" ht="22.5" customHeight="1" x14ac:dyDescent="0.25">
      <c r="A16" s="131" t="s">
        <v>0</v>
      </c>
      <c r="B16" s="131" t="s">
        <v>1</v>
      </c>
      <c r="C16" s="131" t="s">
        <v>2</v>
      </c>
      <c r="D16" s="108" t="s">
        <v>3</v>
      </c>
      <c r="E16" s="109"/>
      <c r="F16" s="118"/>
      <c r="G16" s="108" t="s">
        <v>4</v>
      </c>
      <c r="H16" s="109"/>
      <c r="I16" s="118"/>
      <c r="J16" s="108" t="s">
        <v>5</v>
      </c>
      <c r="K16" s="109"/>
      <c r="L16" s="118"/>
      <c r="M16" s="108" t="s">
        <v>6</v>
      </c>
      <c r="N16" s="109"/>
      <c r="O16" s="118"/>
      <c r="P16" s="108" t="s">
        <v>97</v>
      </c>
      <c r="Q16" s="109"/>
      <c r="R16" s="109"/>
      <c r="S16" s="108" t="s">
        <v>7</v>
      </c>
      <c r="T16" s="109"/>
      <c r="U16" s="109"/>
      <c r="V16" s="18"/>
      <c r="W16" s="11"/>
      <c r="X16" s="11"/>
      <c r="Y16" s="11"/>
      <c r="Z16" s="11"/>
      <c r="AA16" s="11"/>
      <c r="AB16" s="11"/>
      <c r="AC16" s="11"/>
    </row>
    <row r="17" spans="1:29" s="12" customFormat="1" ht="38.25" customHeight="1" x14ac:dyDescent="0.25">
      <c r="A17" s="131"/>
      <c r="B17" s="131"/>
      <c r="C17" s="131"/>
      <c r="D17" s="19" t="s">
        <v>8</v>
      </c>
      <c r="E17" s="19" t="s">
        <v>9</v>
      </c>
      <c r="F17" s="19" t="s">
        <v>10</v>
      </c>
      <c r="G17" s="19" t="s">
        <v>11</v>
      </c>
      <c r="H17" s="19" t="s">
        <v>9</v>
      </c>
      <c r="I17" s="19" t="s">
        <v>10</v>
      </c>
      <c r="J17" s="19" t="s">
        <v>12</v>
      </c>
      <c r="K17" s="19" t="s">
        <v>9</v>
      </c>
      <c r="L17" s="19" t="s">
        <v>10</v>
      </c>
      <c r="M17" s="19" t="s">
        <v>13</v>
      </c>
      <c r="N17" s="19" t="s">
        <v>9</v>
      </c>
      <c r="O17" s="19" t="s">
        <v>10</v>
      </c>
      <c r="P17" s="19" t="s">
        <v>98</v>
      </c>
      <c r="Q17" s="19" t="s">
        <v>9</v>
      </c>
      <c r="R17" s="19" t="s">
        <v>10</v>
      </c>
      <c r="S17" s="19" t="s">
        <v>14</v>
      </c>
      <c r="T17" s="19" t="s">
        <v>9</v>
      </c>
      <c r="U17" s="19" t="s">
        <v>10</v>
      </c>
      <c r="V17" s="19" t="s">
        <v>15</v>
      </c>
      <c r="W17" s="20">
        <v>2013</v>
      </c>
      <c r="X17" s="20">
        <v>1</v>
      </c>
      <c r="Y17" s="20">
        <v>2</v>
      </c>
      <c r="Z17" s="11"/>
      <c r="AA17" s="11"/>
      <c r="AB17" s="11"/>
      <c r="AC17" s="11"/>
    </row>
    <row r="18" spans="1:29" s="24" customFormat="1" ht="12.75" customHeight="1" x14ac:dyDescent="0.2">
      <c r="A18" s="21">
        <v>1</v>
      </c>
      <c r="B18" s="21">
        <v>2</v>
      </c>
      <c r="C18" s="22">
        <v>3</v>
      </c>
      <c r="D18" s="21">
        <v>5</v>
      </c>
      <c r="E18" s="21">
        <v>5</v>
      </c>
      <c r="F18" s="21">
        <v>6</v>
      </c>
      <c r="G18" s="21">
        <v>7</v>
      </c>
      <c r="H18" s="21">
        <v>8</v>
      </c>
      <c r="I18" s="22">
        <v>9</v>
      </c>
      <c r="J18" s="22">
        <f>I18+1</f>
        <v>10</v>
      </c>
      <c r="K18" s="22">
        <f t="shared" ref="K18:U18" si="0">J18+1</f>
        <v>11</v>
      </c>
      <c r="L18" s="22">
        <f t="shared" si="0"/>
        <v>12</v>
      </c>
      <c r="M18" s="22">
        <f t="shared" si="0"/>
        <v>13</v>
      </c>
      <c r="N18" s="22">
        <f t="shared" si="0"/>
        <v>14</v>
      </c>
      <c r="O18" s="22">
        <f t="shared" si="0"/>
        <v>15</v>
      </c>
      <c r="P18" s="22">
        <f t="shared" si="0"/>
        <v>16</v>
      </c>
      <c r="Q18" s="22">
        <f t="shared" si="0"/>
        <v>17</v>
      </c>
      <c r="R18" s="22">
        <f t="shared" si="0"/>
        <v>18</v>
      </c>
      <c r="S18" s="22">
        <f t="shared" si="0"/>
        <v>19</v>
      </c>
      <c r="T18" s="22">
        <f t="shared" si="0"/>
        <v>20</v>
      </c>
      <c r="U18" s="22">
        <f t="shared" si="0"/>
        <v>21</v>
      </c>
      <c r="V18" s="21">
        <v>7</v>
      </c>
      <c r="W18" s="23"/>
      <c r="X18" s="23"/>
      <c r="Y18" s="23"/>
      <c r="Z18" s="23"/>
      <c r="AA18" s="23"/>
      <c r="AB18" s="23"/>
      <c r="AC18" s="23"/>
    </row>
    <row r="19" spans="1:29" s="12" customFormat="1" ht="21.75" customHeight="1" x14ac:dyDescent="0.25">
      <c r="A19" s="25" t="s">
        <v>16</v>
      </c>
      <c r="B19" s="119" t="s">
        <v>17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26"/>
      <c r="T19" s="26"/>
      <c r="U19" s="27"/>
      <c r="V19" s="28"/>
      <c r="W19" s="11"/>
      <c r="X19" s="11"/>
      <c r="Y19" s="11"/>
      <c r="Z19" s="11"/>
      <c r="AA19" s="11"/>
      <c r="AB19" s="11"/>
      <c r="AC19" s="11"/>
    </row>
    <row r="20" spans="1:29" s="35" customFormat="1" ht="31.5" customHeight="1" x14ac:dyDescent="0.25">
      <c r="A20" s="29" t="s">
        <v>18</v>
      </c>
      <c r="B20" s="30" t="s">
        <v>19</v>
      </c>
      <c r="C20" s="31" t="s">
        <v>20</v>
      </c>
      <c r="D20" s="32">
        <f>E20+F20</f>
        <v>232.56199999999998</v>
      </c>
      <c r="E20" s="29">
        <f>'[1]елиз-1 '!E19</f>
        <v>159.02099999999999</v>
      </c>
      <c r="F20" s="29">
        <f>'[1]елиз-1 '!F19</f>
        <v>73.540999999999997</v>
      </c>
      <c r="G20" s="32">
        <f>H20+I20</f>
        <v>208.34199999999998</v>
      </c>
      <c r="H20" s="32">
        <f>'[1]елиз-1 '!J19</f>
        <v>130.316</v>
      </c>
      <c r="I20" s="32">
        <f>'[1]елиз-1 '!K19</f>
        <v>78.025999999999996</v>
      </c>
      <c r="J20" s="32">
        <f>K20+L20</f>
        <v>172.31092200000001</v>
      </c>
      <c r="K20" s="32">
        <v>113.56039999999999</v>
      </c>
      <c r="L20" s="32">
        <v>58.750522000000018</v>
      </c>
      <c r="M20" s="32">
        <f>N20+O20</f>
        <v>188.4084</v>
      </c>
      <c r="N20" s="32">
        <v>117.0089</v>
      </c>
      <c r="O20" s="32">
        <v>71.399500000000003</v>
      </c>
      <c r="P20" s="32">
        <f>Q20+R20</f>
        <v>168</v>
      </c>
      <c r="Q20" s="32">
        <f>SUM(Q21:Q23)</f>
        <v>107.99</v>
      </c>
      <c r="R20" s="32">
        <f>SUM(R21:R23)</f>
        <v>60.01</v>
      </c>
      <c r="S20" s="33">
        <f>T20+U20</f>
        <v>168</v>
      </c>
      <c r="T20" s="33">
        <f>T21+T22+T23</f>
        <v>107.99</v>
      </c>
      <c r="U20" s="33">
        <f>U21+U22+U23</f>
        <v>60.01</v>
      </c>
      <c r="V20" s="33" t="e">
        <f>'[1]елиз-1 '!#REF!/1000+'[1]елиз-1 '!#REF!/1000</f>
        <v>#REF!</v>
      </c>
      <c r="W20" s="34">
        <f>257584.51/1000</f>
        <v>257.58451000000002</v>
      </c>
      <c r="X20" s="34">
        <f>155664.1/1000</f>
        <v>155.66410000000002</v>
      </c>
      <c r="Y20" s="34">
        <f>101920.41/1000</f>
        <v>101.92041</v>
      </c>
      <c r="Z20" s="11"/>
      <c r="AA20" s="11"/>
      <c r="AB20" s="11"/>
      <c r="AC20" s="11"/>
    </row>
    <row r="21" spans="1:29" ht="20.25" customHeight="1" x14ac:dyDescent="0.25">
      <c r="A21" s="36" t="s">
        <v>21</v>
      </c>
      <c r="B21" s="37" t="s">
        <v>22</v>
      </c>
      <c r="C21" s="22" t="s">
        <v>20</v>
      </c>
      <c r="D21" s="38">
        <f t="shared" ref="D21:D23" si="1">E21+F21</f>
        <v>193.07441</v>
      </c>
      <c r="E21" s="39">
        <v>133.53942000000001</v>
      </c>
      <c r="F21" s="39">
        <v>59.534990000000001</v>
      </c>
      <c r="G21" s="38">
        <f t="shared" ref="G21:G23" si="2">H21+I21</f>
        <v>174.26198076</v>
      </c>
      <c r="H21" s="38">
        <v>108.19577307</v>
      </c>
      <c r="I21" s="38">
        <f>174.26198076-H21</f>
        <v>66.066207689999999</v>
      </c>
      <c r="J21" s="38">
        <f>J20-J22-J23</f>
        <v>143.16730468</v>
      </c>
      <c r="K21" s="38">
        <f>K20-K22-K23</f>
        <v>93.782830000000004</v>
      </c>
      <c r="L21" s="38">
        <f>J21-K21</f>
        <v>49.384474679999997</v>
      </c>
      <c r="M21" s="38">
        <f>N21+O21</f>
        <v>156.66589999999999</v>
      </c>
      <c r="N21" s="40">
        <v>97.228899999999996</v>
      </c>
      <c r="O21" s="40">
        <v>59.436999999999998</v>
      </c>
      <c r="P21" s="38">
        <f t="shared" ref="P21:P23" si="3">Q21+R21</f>
        <v>143.5</v>
      </c>
      <c r="Q21" s="40">
        <f>'[2]елиз-2'!$U$14</f>
        <v>92.79</v>
      </c>
      <c r="R21" s="40">
        <f>'[2]елиз-2'!$V$14</f>
        <v>50.71</v>
      </c>
      <c r="S21" s="40">
        <f>T21+U21</f>
        <v>143.5</v>
      </c>
      <c r="T21" s="40">
        <f>Q21</f>
        <v>92.79</v>
      </c>
      <c r="U21" s="40">
        <f>R21</f>
        <v>50.71</v>
      </c>
      <c r="V21" s="40">
        <f>177.732+267.721</f>
        <v>445.45299999999997</v>
      </c>
      <c r="W21" s="41">
        <f>222365.82/1000</f>
        <v>222.36582000000001</v>
      </c>
      <c r="X21" s="41">
        <f>135661.41/1000</f>
        <v>135.66140999999999</v>
      </c>
      <c r="Y21" s="41">
        <f>86704.41/1000</f>
        <v>86.70441000000001</v>
      </c>
    </row>
    <row r="22" spans="1:29" ht="24.75" customHeight="1" x14ac:dyDescent="0.25">
      <c r="A22" s="36" t="s">
        <v>23</v>
      </c>
      <c r="B22" s="37" t="s">
        <v>24</v>
      </c>
      <c r="C22" s="22" t="s">
        <v>20</v>
      </c>
      <c r="D22" s="38">
        <f t="shared" si="1"/>
        <v>37.863479999999996</v>
      </c>
      <c r="E22" s="39">
        <v>24.520479999999999</v>
      </c>
      <c r="F22" s="39">
        <v>13.342999999999998</v>
      </c>
      <c r="G22" s="38">
        <f t="shared" si="2"/>
        <v>33.041708</v>
      </c>
      <c r="H22" s="38">
        <v>21.608183</v>
      </c>
      <c r="I22" s="38">
        <f>33.041708-H22</f>
        <v>11.433524999999999</v>
      </c>
      <c r="J22" s="38">
        <f>27268.588/1000</f>
        <v>27.268588000000001</v>
      </c>
      <c r="K22" s="38">
        <v>18.72832</v>
      </c>
      <c r="L22" s="38">
        <f t="shared" ref="L22" si="4">J22-K22</f>
        <v>8.5402680000000011</v>
      </c>
      <c r="M22" s="38">
        <f t="shared" ref="M22:M23" si="5">N22+O22</f>
        <v>30.166799999999999</v>
      </c>
      <c r="N22" s="40">
        <v>18.730599999999999</v>
      </c>
      <c r="O22" s="40">
        <v>11.436199999999999</v>
      </c>
      <c r="P22" s="38">
        <f t="shared" si="3"/>
        <v>22.1</v>
      </c>
      <c r="Q22" s="40">
        <f>'[2]елиз-2'!$U$15</f>
        <v>13.6</v>
      </c>
      <c r="R22" s="40">
        <f>'[2]елиз-2'!$V$15</f>
        <v>8.5</v>
      </c>
      <c r="S22" s="40">
        <f t="shared" ref="S22:S23" si="6">T22+U22</f>
        <v>22.1</v>
      </c>
      <c r="T22" s="40">
        <f t="shared" ref="T22:U23" si="7">Q22</f>
        <v>13.6</v>
      </c>
      <c r="U22" s="40">
        <f t="shared" si="7"/>
        <v>8.5</v>
      </c>
      <c r="V22" s="40">
        <f>13.305+12.281</f>
        <v>25.585999999999999</v>
      </c>
      <c r="W22" s="41">
        <f>35140/1000</f>
        <v>35.14</v>
      </c>
      <c r="X22" s="41">
        <f>19955.99/1000</f>
        <v>19.95599</v>
      </c>
      <c r="Y22" s="41">
        <f>15184.4/1000</f>
        <v>15.1844</v>
      </c>
    </row>
    <row r="23" spans="1:29" ht="24" customHeight="1" x14ac:dyDescent="0.25">
      <c r="A23" s="36" t="s">
        <v>25</v>
      </c>
      <c r="B23" s="37" t="s">
        <v>26</v>
      </c>
      <c r="C23" s="22" t="s">
        <v>20</v>
      </c>
      <c r="D23" s="38">
        <f t="shared" si="1"/>
        <v>1.6241099999999999</v>
      </c>
      <c r="E23" s="39">
        <v>0.96109999999999995</v>
      </c>
      <c r="F23" s="39">
        <v>0.66300999999999999</v>
      </c>
      <c r="G23" s="38">
        <f t="shared" si="2"/>
        <v>1.0382810800000299</v>
      </c>
      <c r="H23" s="38">
        <v>0.51215392000001903</v>
      </c>
      <c r="I23" s="38">
        <f>1.03828108000003-H23</f>
        <v>0.52612716000001092</v>
      </c>
      <c r="J23" s="38">
        <f>K23+L23</f>
        <v>1.875029320000003</v>
      </c>
      <c r="K23" s="38">
        <v>1.0492499999999829</v>
      </c>
      <c r="L23" s="38">
        <v>0.82577932000002008</v>
      </c>
      <c r="M23" s="38">
        <f t="shared" si="5"/>
        <v>1.5757000000000083</v>
      </c>
      <c r="N23" s="40">
        <f>N20-N21-N22</f>
        <v>1.0494000000000021</v>
      </c>
      <c r="O23" s="40">
        <f>O20-O21-O22</f>
        <v>0.52630000000000621</v>
      </c>
      <c r="P23" s="38">
        <f t="shared" si="3"/>
        <v>2.4000000000000004</v>
      </c>
      <c r="Q23" s="40">
        <f>'[2]елиз-2'!$U$16</f>
        <v>1.6</v>
      </c>
      <c r="R23" s="40">
        <f>'[2]елиз-2'!$V$16</f>
        <v>0.8</v>
      </c>
      <c r="S23" s="40">
        <f t="shared" si="6"/>
        <v>2.4000000000000004</v>
      </c>
      <c r="T23" s="40">
        <f t="shared" si="7"/>
        <v>1.6</v>
      </c>
      <c r="U23" s="40">
        <f t="shared" si="7"/>
        <v>0.8</v>
      </c>
      <c r="V23" s="40" t="e">
        <f t="shared" ref="V23" si="8">V20-V21-V22</f>
        <v>#REF!</v>
      </c>
      <c r="W23" s="41">
        <f>W20-W21-W22</f>
        <v>7.8690000000008808E-2</v>
      </c>
      <c r="X23" s="41">
        <f t="shared" ref="X23:Y23" si="9">X20-X21-X22</f>
        <v>4.6700000000029718E-2</v>
      </c>
      <c r="Y23" s="41">
        <f t="shared" si="9"/>
        <v>3.1599999999993855E-2</v>
      </c>
    </row>
    <row r="24" spans="1:29" s="12" customFormat="1" ht="24.75" customHeight="1" x14ac:dyDescent="0.25">
      <c r="A24" s="25" t="s">
        <v>27</v>
      </c>
      <c r="B24" s="119" t="s">
        <v>28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26"/>
      <c r="T24" s="26"/>
      <c r="U24" s="27"/>
      <c r="V24" s="42"/>
      <c r="W24" s="11">
        <f>G20/W20</f>
        <v>0.80882969243763903</v>
      </c>
      <c r="X24" s="11">
        <f>H20/X20</f>
        <v>0.83716155491214728</v>
      </c>
      <c r="Y24" s="11">
        <f>I20/Y20</f>
        <v>0.76555814483085372</v>
      </c>
      <c r="Z24" s="11">
        <f>S20/W20</f>
        <v>0.65221313191542452</v>
      </c>
      <c r="AA24" s="11">
        <f>T20/X20</f>
        <v>0.69373734856013669</v>
      </c>
      <c r="AB24" s="11">
        <f>U20/Y20</f>
        <v>0.58879276486427001</v>
      </c>
      <c r="AC24" s="11"/>
    </row>
    <row r="25" spans="1:29" ht="35.25" customHeight="1" x14ac:dyDescent="0.25">
      <c r="A25" s="36" t="s">
        <v>29</v>
      </c>
      <c r="B25" s="37" t="s">
        <v>30</v>
      </c>
      <c r="C25" s="22" t="s">
        <v>31</v>
      </c>
      <c r="D25" s="43">
        <v>0.249</v>
      </c>
      <c r="E25" s="43">
        <v>0.249</v>
      </c>
      <c r="F25" s="43">
        <v>0.249</v>
      </c>
      <c r="G25" s="43">
        <v>0.45600000000000002</v>
      </c>
      <c r="H25" s="43">
        <v>0.45600000000000002</v>
      </c>
      <c r="I25" s="43">
        <v>0.45600000000000002</v>
      </c>
      <c r="J25" s="43">
        <v>0.45600000000000002</v>
      </c>
      <c r="K25" s="43">
        <v>0.45600000000000002</v>
      </c>
      <c r="L25" s="43">
        <v>0.45600000000000002</v>
      </c>
      <c r="M25" s="43">
        <v>0.65</v>
      </c>
      <c r="N25" s="43">
        <v>0.65</v>
      </c>
      <c r="O25" s="43">
        <v>0.65</v>
      </c>
      <c r="P25" s="43">
        <v>0.65</v>
      </c>
      <c r="Q25" s="43">
        <v>0.65</v>
      </c>
      <c r="R25" s="43">
        <v>0.65</v>
      </c>
      <c r="S25" s="43">
        <v>0.65</v>
      </c>
      <c r="T25" s="43">
        <v>0.65</v>
      </c>
      <c r="U25" s="43">
        <v>0.65</v>
      </c>
      <c r="V25" s="44"/>
      <c r="W25" s="3">
        <f>X25+Y25</f>
        <v>179.94778420542804</v>
      </c>
      <c r="X25" s="3">
        <f>X24*X21</f>
        <v>113.57051693717432</v>
      </c>
      <c r="Y25" s="3">
        <f>Y24*Y21</f>
        <v>66.377267268253732</v>
      </c>
      <c r="Z25" s="3">
        <f>AA25+AB25</f>
        <v>145.16431616515487</v>
      </c>
      <c r="AA25" s="3">
        <f>AA24*X21</f>
        <v>94.11338687532961</v>
      </c>
      <c r="AB25" s="3">
        <f>AB24*Y21</f>
        <v>51.05092928982527</v>
      </c>
    </row>
    <row r="26" spans="1:29" ht="33" customHeight="1" x14ac:dyDescent="0.25">
      <c r="A26" s="36" t="s">
        <v>32</v>
      </c>
      <c r="B26" s="37" t="s">
        <v>33</v>
      </c>
      <c r="C26" s="22" t="s">
        <v>34</v>
      </c>
      <c r="D26" s="45">
        <f>(D21*1000)/(365*24)</f>
        <v>22.040457762557079</v>
      </c>
      <c r="E26" s="45">
        <f>(E21*1000)/(181*24)</f>
        <v>30.741118784530389</v>
      </c>
      <c r="F26" s="45">
        <f>(F21*1000)/(184*24)</f>
        <v>13.481655344202897</v>
      </c>
      <c r="G26" s="45">
        <f>(G21*1000)/(366*24)</f>
        <v>19.838567937158469</v>
      </c>
      <c r="H26" s="45">
        <f t="shared" ref="H26:U26" si="10">(H21*1000)/(184*24)</f>
        <v>24.500854408967392</v>
      </c>
      <c r="I26" s="45">
        <f t="shared" si="10"/>
        <v>14.960644857336955</v>
      </c>
      <c r="J26" s="45">
        <f>(J21*1000)/(365*24)</f>
        <v>16.343299621004565</v>
      </c>
      <c r="K26" s="45">
        <f t="shared" si="10"/>
        <v>21.237053894927538</v>
      </c>
      <c r="L26" s="45">
        <f t="shared" si="10"/>
        <v>11.183078505434782</v>
      </c>
      <c r="M26" s="45">
        <f>(M21*1000)/(365*24)</f>
        <v>17.884235159817351</v>
      </c>
      <c r="N26" s="45">
        <f t="shared" si="10"/>
        <v>22.017413949275362</v>
      </c>
      <c r="O26" s="45">
        <f t="shared" si="10"/>
        <v>13.459465579710145</v>
      </c>
      <c r="P26" s="45">
        <f>(P21*1000)/(365*24)</f>
        <v>16.381278538812786</v>
      </c>
      <c r="Q26" s="45">
        <f t="shared" si="10"/>
        <v>21.012228260869566</v>
      </c>
      <c r="R26" s="45">
        <f t="shared" si="10"/>
        <v>11.483242753623188</v>
      </c>
      <c r="S26" s="45">
        <f>(S21*1000)/(365*24)</f>
        <v>16.381278538812786</v>
      </c>
      <c r="T26" s="45">
        <f t="shared" si="10"/>
        <v>21.012228260869566</v>
      </c>
      <c r="U26" s="45">
        <f t="shared" si="10"/>
        <v>11.483242753623188</v>
      </c>
      <c r="V26" s="44">
        <f>V21*1000/4368</f>
        <v>101.98099816849818</v>
      </c>
      <c r="W26" s="3">
        <f t="shared" ref="W26" si="11">X26+Y26</f>
        <v>28.330928712580878</v>
      </c>
      <c r="X26" s="3">
        <f>X22*X24</f>
        <v>16.706387618211263</v>
      </c>
      <c r="Y26" s="3">
        <f>Y22*Y24</f>
        <v>11.624541094369615</v>
      </c>
      <c r="Z26" s="3">
        <f>AA26+AB26</f>
        <v>22.784680449297625</v>
      </c>
      <c r="AA26" s="3">
        <f>AA24*X22</f>
        <v>13.844215590492603</v>
      </c>
      <c r="AB26" s="3">
        <f>AB24*Y22</f>
        <v>8.9404648588050222</v>
      </c>
    </row>
    <row r="27" spans="1:29" ht="18" customHeight="1" x14ac:dyDescent="0.25"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" t="e">
        <f>#REF!-W25-W26</f>
        <v>#REF!</v>
      </c>
      <c r="X27" s="3" t="e">
        <f>#REF!-X25-X26</f>
        <v>#REF!</v>
      </c>
      <c r="Y27" s="3" t="e">
        <f>#REF!-Y25-Y26</f>
        <v>#REF!</v>
      </c>
      <c r="Z27" s="3">
        <f t="shared" ref="Z27" si="12">AA27+AB27</f>
        <v>5.1003385547486312E-2</v>
      </c>
      <c r="AA27" s="3">
        <f>AA24*X23</f>
        <v>3.2397534177778999E-2</v>
      </c>
      <c r="AB27" s="3">
        <f>AB24*Y23</f>
        <v>1.8605851369707313E-2</v>
      </c>
    </row>
    <row r="28" spans="1:29" s="56" customFormat="1" ht="61.5" customHeight="1" x14ac:dyDescent="0.25">
      <c r="A28" s="48"/>
      <c r="B28" s="49" t="s">
        <v>35</v>
      </c>
      <c r="C28" s="50" t="s">
        <v>36</v>
      </c>
      <c r="D28" s="51"/>
      <c r="E28" s="51"/>
      <c r="F28" s="51"/>
      <c r="G28" s="52">
        <f>'[1]елиз-1 '!I55</f>
        <v>7.7410000000000007E-2</v>
      </c>
      <c r="H28" s="52">
        <f>'[1]елиз-1 '!J55</f>
        <v>7.7410000000000007E-2</v>
      </c>
      <c r="I28" s="52">
        <f>'[1]елиз-1 '!K55</f>
        <v>7.7410000000000007E-2</v>
      </c>
      <c r="J28" s="53">
        <v>8.0415181691152457E-2</v>
      </c>
      <c r="K28" s="53">
        <v>7.839440509191585E-2</v>
      </c>
      <c r="L28" s="53">
        <v>8.4321192924890043E-2</v>
      </c>
      <c r="M28" s="53">
        <v>7.7634542833546705E-2</v>
      </c>
      <c r="N28" s="53">
        <v>7.7580423369504381E-2</v>
      </c>
      <c r="O28" s="53">
        <v>7.7723233355975876E-2</v>
      </c>
      <c r="P28" s="53">
        <v>7.0360000000000006E-2</v>
      </c>
      <c r="Q28" s="53">
        <f>P28</f>
        <v>7.0360000000000006E-2</v>
      </c>
      <c r="R28" s="53">
        <f>P28</f>
        <v>7.0360000000000006E-2</v>
      </c>
      <c r="S28" s="53">
        <v>8.0370993619042042E-2</v>
      </c>
      <c r="T28" s="53">
        <v>7.8410502040092256E-2</v>
      </c>
      <c r="U28" s="53">
        <v>8.4100757719798039E-2</v>
      </c>
      <c r="V28" s="54"/>
      <c r="W28" s="55"/>
      <c r="X28" s="55"/>
      <c r="Y28" s="55"/>
      <c r="Z28" s="55"/>
      <c r="AA28" s="55"/>
      <c r="AB28" s="55"/>
      <c r="AC28" s="55"/>
    </row>
    <row r="29" spans="1:29" ht="23.25" customHeight="1" x14ac:dyDescent="0.25">
      <c r="A29" s="57"/>
      <c r="B29" s="57"/>
      <c r="C29" s="58"/>
      <c r="D29" s="59"/>
      <c r="E29" s="59"/>
      <c r="F29" s="59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60"/>
      <c r="T29" s="60"/>
      <c r="U29" s="54"/>
      <c r="V29" s="16"/>
    </row>
    <row r="30" spans="1:29" ht="15.75" customHeight="1" x14ac:dyDescent="0.25">
      <c r="A30" s="113" t="s">
        <v>93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56"/>
    </row>
    <row r="31" spans="1:29" x14ac:dyDescent="0.25">
      <c r="A31" s="61"/>
      <c r="B31" s="54"/>
      <c r="C31" s="5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6"/>
    </row>
    <row r="32" spans="1:29" ht="21.75" customHeight="1" x14ac:dyDescent="0.25">
      <c r="A32" s="121" t="s">
        <v>37</v>
      </c>
      <c r="B32" s="121" t="s">
        <v>38</v>
      </c>
      <c r="C32" s="122" t="s">
        <v>39</v>
      </c>
      <c r="D32" s="123" t="s">
        <v>40</v>
      </c>
      <c r="E32" s="124"/>
      <c r="F32" s="124"/>
      <c r="G32" s="124"/>
      <c r="H32" s="125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7"/>
      <c r="T32" s="127"/>
      <c r="U32" s="54"/>
      <c r="V32" s="56"/>
    </row>
    <row r="33" spans="1:29" ht="35.25" customHeight="1" x14ac:dyDescent="0.25">
      <c r="A33" s="121"/>
      <c r="B33" s="121"/>
      <c r="C33" s="122"/>
      <c r="D33" s="123" t="s">
        <v>41</v>
      </c>
      <c r="E33" s="109"/>
      <c r="F33" s="109"/>
      <c r="G33" s="118"/>
      <c r="H33" s="51" t="s">
        <v>42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4"/>
      <c r="V33" s="56"/>
    </row>
    <row r="34" spans="1:29" ht="22.5" customHeight="1" x14ac:dyDescent="0.25">
      <c r="A34" s="62">
        <v>1</v>
      </c>
      <c r="B34" s="36">
        <v>2</v>
      </c>
      <c r="C34" s="36">
        <v>3</v>
      </c>
      <c r="D34" s="110">
        <v>4</v>
      </c>
      <c r="E34" s="111"/>
      <c r="F34" s="111"/>
      <c r="G34" s="112"/>
      <c r="H34" s="36">
        <v>5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54"/>
      <c r="V34" s="56"/>
    </row>
    <row r="35" spans="1:29" ht="25.5" x14ac:dyDescent="0.25">
      <c r="A35" s="62" t="s">
        <v>16</v>
      </c>
      <c r="B35" s="65" t="s">
        <v>43</v>
      </c>
      <c r="C35" s="22"/>
      <c r="D35" s="110"/>
      <c r="E35" s="111"/>
      <c r="F35" s="111"/>
      <c r="G35" s="112"/>
      <c r="H35" s="36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57"/>
      <c r="T35" s="57"/>
      <c r="U35" s="54"/>
      <c r="V35" s="56"/>
    </row>
    <row r="36" spans="1:29" x14ac:dyDescent="0.25">
      <c r="A36" s="62" t="s">
        <v>27</v>
      </c>
      <c r="B36" s="65" t="s">
        <v>44</v>
      </c>
      <c r="C36" s="22"/>
      <c r="D36" s="110"/>
      <c r="E36" s="111"/>
      <c r="F36" s="111"/>
      <c r="G36" s="112"/>
      <c r="H36" s="36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57"/>
      <c r="T36" s="57"/>
      <c r="U36" s="54"/>
      <c r="V36" s="66"/>
    </row>
    <row r="37" spans="1:29" ht="38.25" x14ac:dyDescent="0.25">
      <c r="A37" s="62" t="s">
        <v>45</v>
      </c>
      <c r="B37" s="65" t="s">
        <v>46</v>
      </c>
      <c r="C37" s="22"/>
      <c r="D37" s="110"/>
      <c r="E37" s="111"/>
      <c r="F37" s="111"/>
      <c r="G37" s="112"/>
      <c r="H37" s="36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57"/>
      <c r="T37" s="57"/>
      <c r="U37" s="54"/>
      <c r="V37" s="66"/>
    </row>
    <row r="38" spans="1:29" ht="38.25" x14ac:dyDescent="0.25">
      <c r="A38" s="62" t="s">
        <v>47</v>
      </c>
      <c r="B38" s="65" t="s">
        <v>48</v>
      </c>
      <c r="C38" s="22"/>
      <c r="D38" s="110"/>
      <c r="E38" s="111"/>
      <c r="F38" s="111"/>
      <c r="G38" s="112"/>
      <c r="H38" s="36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57"/>
      <c r="T38" s="57"/>
      <c r="U38" s="54"/>
      <c r="V38" s="66"/>
    </row>
    <row r="39" spans="1:29" ht="15" customHeight="1" x14ac:dyDescent="0.25">
      <c r="A39" s="62" t="s">
        <v>49</v>
      </c>
      <c r="B39" s="67" t="s">
        <v>50</v>
      </c>
      <c r="C39" s="22"/>
      <c r="D39" s="110"/>
      <c r="E39" s="111"/>
      <c r="F39" s="111"/>
      <c r="G39" s="112"/>
      <c r="H39" s="36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57"/>
      <c r="T39" s="57"/>
      <c r="U39" s="54"/>
      <c r="V39" s="66"/>
    </row>
    <row r="40" spans="1:29" ht="15" customHeight="1" x14ac:dyDescent="0.25">
      <c r="B40" s="66"/>
      <c r="C40" s="68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9" ht="15" customHeight="1" x14ac:dyDescent="0.25">
      <c r="B41" s="66"/>
      <c r="C41" s="68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9" x14ac:dyDescent="0.25">
      <c r="A42" s="113" t="s">
        <v>94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9" ht="16.5" customHeight="1" x14ac:dyDescent="0.25">
      <c r="A43" s="69"/>
      <c r="B43" s="69"/>
      <c r="C43" s="70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9" ht="26.25" customHeight="1" x14ac:dyDescent="0.25">
      <c r="A44" s="114" t="s">
        <v>51</v>
      </c>
      <c r="B44" s="114" t="s">
        <v>52</v>
      </c>
      <c r="C44" s="116" t="s">
        <v>2</v>
      </c>
      <c r="D44" s="108" t="s">
        <v>3</v>
      </c>
      <c r="E44" s="109"/>
      <c r="F44" s="118"/>
      <c r="G44" s="108" t="s">
        <v>4</v>
      </c>
      <c r="H44" s="109"/>
      <c r="I44" s="118"/>
      <c r="J44" s="108" t="s">
        <v>5</v>
      </c>
      <c r="K44" s="109"/>
      <c r="L44" s="118"/>
      <c r="M44" s="108" t="s">
        <v>53</v>
      </c>
      <c r="N44" s="109"/>
      <c r="O44" s="109"/>
      <c r="P44" s="108" t="s">
        <v>97</v>
      </c>
      <c r="Q44" s="109"/>
      <c r="R44" s="109"/>
      <c r="S44" s="108" t="s">
        <v>7</v>
      </c>
      <c r="T44" s="109"/>
      <c r="U44" s="109"/>
      <c r="V44" s="71"/>
      <c r="W44" s="72"/>
      <c r="X44" s="55"/>
      <c r="Y44" s="55"/>
      <c r="Z44" s="55"/>
    </row>
    <row r="45" spans="1:29" ht="33" customHeight="1" x14ac:dyDescent="0.25">
      <c r="A45" s="115"/>
      <c r="B45" s="115"/>
      <c r="C45" s="117"/>
      <c r="D45" s="19" t="s">
        <v>8</v>
      </c>
      <c r="E45" s="19" t="s">
        <v>9</v>
      </c>
      <c r="F45" s="19" t="s">
        <v>10</v>
      </c>
      <c r="G45" s="19" t="s">
        <v>11</v>
      </c>
      <c r="H45" s="19" t="s">
        <v>9</v>
      </c>
      <c r="I45" s="19" t="s">
        <v>10</v>
      </c>
      <c r="J45" s="19" t="s">
        <v>12</v>
      </c>
      <c r="K45" s="19" t="s">
        <v>9</v>
      </c>
      <c r="L45" s="19" t="s">
        <v>10</v>
      </c>
      <c r="M45" s="19" t="s">
        <v>13</v>
      </c>
      <c r="N45" s="19" t="s">
        <v>9</v>
      </c>
      <c r="O45" s="19" t="s">
        <v>10</v>
      </c>
      <c r="P45" s="19" t="s">
        <v>98</v>
      </c>
      <c r="Q45" s="19" t="s">
        <v>9</v>
      </c>
      <c r="R45" s="19" t="s">
        <v>10</v>
      </c>
      <c r="S45" s="19" t="s">
        <v>14</v>
      </c>
      <c r="T45" s="19" t="s">
        <v>9</v>
      </c>
      <c r="U45" s="19" t="s">
        <v>10</v>
      </c>
      <c r="V45" s="73" t="s">
        <v>15</v>
      </c>
      <c r="W45" s="74"/>
      <c r="X45" s="75"/>
      <c r="Y45" s="75"/>
      <c r="Z45" s="55"/>
    </row>
    <row r="46" spans="1:29" s="24" customFormat="1" ht="12" x14ac:dyDescent="0.2">
      <c r="A46" s="76">
        <v>1</v>
      </c>
      <c r="B46" s="76">
        <v>2</v>
      </c>
      <c r="C46" s="77">
        <v>3</v>
      </c>
      <c r="D46" s="76">
        <v>5</v>
      </c>
      <c r="E46" s="77">
        <v>6</v>
      </c>
      <c r="F46" s="76">
        <v>8</v>
      </c>
      <c r="G46" s="76">
        <v>9</v>
      </c>
      <c r="H46" s="76">
        <v>10</v>
      </c>
      <c r="I46" s="76">
        <v>11</v>
      </c>
      <c r="J46" s="76"/>
      <c r="K46" s="76"/>
      <c r="L46" s="76"/>
      <c r="M46" s="76"/>
      <c r="N46" s="76"/>
      <c r="O46" s="76"/>
      <c r="P46" s="76"/>
      <c r="Q46" s="76"/>
      <c r="R46" s="76"/>
      <c r="S46" s="76">
        <v>12</v>
      </c>
      <c r="T46" s="77">
        <v>13</v>
      </c>
      <c r="U46" s="76">
        <v>14</v>
      </c>
      <c r="V46" s="24">
        <v>140</v>
      </c>
      <c r="W46" s="78"/>
      <c r="X46" s="79"/>
      <c r="Y46" s="79"/>
      <c r="Z46" s="79"/>
      <c r="AA46" s="23"/>
      <c r="AB46" s="23"/>
      <c r="AC46" s="23"/>
    </row>
    <row r="47" spans="1:29" ht="31.5" x14ac:dyDescent="0.25">
      <c r="A47" s="36" t="s">
        <v>16</v>
      </c>
      <c r="B47" s="37" t="s">
        <v>54</v>
      </c>
      <c r="C47" s="22" t="s">
        <v>55</v>
      </c>
      <c r="D47" s="80" t="e">
        <f>E47+F47</f>
        <v>#REF!</v>
      </c>
      <c r="E47" s="80" t="e">
        <f>(E60*E20*#REF!)+(E61*E20)</f>
        <v>#REF!</v>
      </c>
      <c r="F47" s="80" t="e">
        <f>(F60*F20*#REF!)+(F61*F20)</f>
        <v>#REF!</v>
      </c>
      <c r="G47" s="80">
        <f>H47+I47</f>
        <v>83818.525636817605</v>
      </c>
      <c r="H47" s="80">
        <f>(H60*H20*H28)+(H61*H20)</f>
        <v>51530.479696802802</v>
      </c>
      <c r="I47" s="80">
        <f>(I60*I20*I28)+(I61*I20)</f>
        <v>32288.045940014799</v>
      </c>
      <c r="J47" s="80">
        <f>K47+L47</f>
        <v>81793.758964917972</v>
      </c>
      <c r="K47" s="80">
        <f>(K60*K20*K28)+(K61*K20)</f>
        <v>50713.797229999989</v>
      </c>
      <c r="L47" s="80">
        <f>(L60*L20*L28)+(L61*L20)</f>
        <v>31079.96173491799</v>
      </c>
      <c r="M47" s="80">
        <f>N47+O47</f>
        <v>93818.091761999996</v>
      </c>
      <c r="N47" s="80">
        <f>(N60*N20*N28)+(N61*N20)</f>
        <v>56927.617330000008</v>
      </c>
      <c r="O47" s="80">
        <f>(O60*O20*O28)+(O61*O20)</f>
        <v>36890.474431999995</v>
      </c>
      <c r="P47" s="80">
        <f>Q47+R47</f>
        <v>96222.6401472</v>
      </c>
      <c r="Q47" s="80">
        <f>(Q60*Q20*Q28)+(Q61*Q20)</f>
        <v>61851.683985096002</v>
      </c>
      <c r="R47" s="80">
        <f>(R60*R20*R28)+(R61*R20)</f>
        <v>34370.956162103997</v>
      </c>
      <c r="S47" s="80">
        <f>T47+U47</f>
        <v>94222.229354659736</v>
      </c>
      <c r="T47" s="80">
        <f>(T60*T20*T28)+(T61*T20)</f>
        <v>58087.698384211988</v>
      </c>
      <c r="U47" s="80">
        <f>(U60*U20*U28)+(U61*U20)</f>
        <v>36134.53097044774</v>
      </c>
    </row>
    <row r="48" spans="1:29" x14ac:dyDescent="0.25">
      <c r="A48" s="36" t="s">
        <v>27</v>
      </c>
      <c r="B48" s="37" t="s">
        <v>56</v>
      </c>
      <c r="C48" s="22" t="s">
        <v>55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1">
        <v>941</v>
      </c>
    </row>
    <row r="49" spans="1:32" x14ac:dyDescent="0.25">
      <c r="A49" s="36" t="s">
        <v>45</v>
      </c>
      <c r="B49" s="37" t="s">
        <v>57</v>
      </c>
      <c r="C49" s="22" t="s">
        <v>31</v>
      </c>
      <c r="D49" s="82" t="e">
        <f t="shared" ref="D49:U49" si="13">D48/D47*100</f>
        <v>#REF!</v>
      </c>
      <c r="E49" s="82" t="e">
        <f t="shared" si="13"/>
        <v>#REF!</v>
      </c>
      <c r="F49" s="82" t="e">
        <f t="shared" si="13"/>
        <v>#REF!</v>
      </c>
      <c r="G49" s="82">
        <f t="shared" si="13"/>
        <v>0</v>
      </c>
      <c r="H49" s="82">
        <f t="shared" si="13"/>
        <v>0</v>
      </c>
      <c r="I49" s="82">
        <f t="shared" si="13"/>
        <v>0</v>
      </c>
      <c r="J49" s="82">
        <f t="shared" si="13"/>
        <v>0</v>
      </c>
      <c r="K49" s="82">
        <f t="shared" si="13"/>
        <v>0</v>
      </c>
      <c r="L49" s="82">
        <f t="shared" si="13"/>
        <v>0</v>
      </c>
      <c r="M49" s="82">
        <f t="shared" si="13"/>
        <v>0</v>
      </c>
      <c r="N49" s="82">
        <f t="shared" si="13"/>
        <v>0</v>
      </c>
      <c r="O49" s="82">
        <f t="shared" si="13"/>
        <v>0</v>
      </c>
      <c r="P49" s="82">
        <v>0</v>
      </c>
      <c r="Q49" s="82">
        <v>0</v>
      </c>
      <c r="R49" s="82">
        <v>0</v>
      </c>
      <c r="S49" s="82">
        <f t="shared" si="13"/>
        <v>0</v>
      </c>
      <c r="T49" s="82">
        <f t="shared" si="13"/>
        <v>0</v>
      </c>
      <c r="U49" s="82">
        <f t="shared" si="13"/>
        <v>0</v>
      </c>
      <c r="V49" s="83"/>
    </row>
    <row r="50" spans="1:32" x14ac:dyDescent="0.25">
      <c r="A50" s="36" t="s">
        <v>47</v>
      </c>
      <c r="B50" s="37" t="s">
        <v>58</v>
      </c>
      <c r="C50" s="22" t="s">
        <v>55</v>
      </c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0" t="e">
        <f>(V53-V55)*V21</f>
        <v>#REF!</v>
      </c>
    </row>
    <row r="51" spans="1:32" x14ac:dyDescent="0.25">
      <c r="A51" s="36" t="s">
        <v>49</v>
      </c>
      <c r="B51" s="37" t="s">
        <v>59</v>
      </c>
      <c r="C51" s="22" t="s">
        <v>55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0"/>
    </row>
    <row r="52" spans="1:32" s="12" customFormat="1" ht="49.5" customHeight="1" thickBot="1" x14ac:dyDescent="0.3">
      <c r="A52" s="84" t="s">
        <v>60</v>
      </c>
      <c r="B52" s="85" t="s">
        <v>61</v>
      </c>
      <c r="C52" s="86" t="s">
        <v>55</v>
      </c>
      <c r="D52" s="87" t="e">
        <f t="shared" ref="D52:U52" si="14">D47</f>
        <v>#REF!</v>
      </c>
      <c r="E52" s="87" t="e">
        <f t="shared" si="14"/>
        <v>#REF!</v>
      </c>
      <c r="F52" s="87" t="e">
        <f t="shared" si="14"/>
        <v>#REF!</v>
      </c>
      <c r="G52" s="87">
        <f t="shared" si="14"/>
        <v>83818.525636817605</v>
      </c>
      <c r="H52" s="87">
        <f t="shared" si="14"/>
        <v>51530.479696802802</v>
      </c>
      <c r="I52" s="87">
        <f t="shared" si="14"/>
        <v>32288.045940014799</v>
      </c>
      <c r="J52" s="87">
        <f t="shared" si="14"/>
        <v>81793.758964917972</v>
      </c>
      <c r="K52" s="87">
        <f t="shared" si="14"/>
        <v>50713.797229999989</v>
      </c>
      <c r="L52" s="87">
        <f t="shared" si="14"/>
        <v>31079.96173491799</v>
      </c>
      <c r="M52" s="87">
        <f t="shared" si="14"/>
        <v>93818.091761999996</v>
      </c>
      <c r="N52" s="87">
        <f t="shared" si="14"/>
        <v>56927.617330000008</v>
      </c>
      <c r="O52" s="87">
        <f t="shared" si="14"/>
        <v>36890.474431999995</v>
      </c>
      <c r="P52" s="87">
        <v>95007.679665400006</v>
      </c>
      <c r="Q52" s="87">
        <v>61792.802523144004</v>
      </c>
      <c r="R52" s="87">
        <v>33214.877142256002</v>
      </c>
      <c r="S52" s="87">
        <f t="shared" si="14"/>
        <v>94222.229354659736</v>
      </c>
      <c r="T52" s="87">
        <f t="shared" si="14"/>
        <v>58087.698384211988</v>
      </c>
      <c r="U52" s="87">
        <f t="shared" si="14"/>
        <v>36134.53097044774</v>
      </c>
      <c r="V52" s="88">
        <f t="shared" ref="V52" si="15">V47+V48</f>
        <v>941</v>
      </c>
      <c r="W52" s="11"/>
      <c r="X52" s="11"/>
      <c r="Y52" s="11"/>
      <c r="Z52" s="11"/>
      <c r="AA52" s="11"/>
      <c r="AB52" s="11"/>
      <c r="AC52" s="11"/>
    </row>
    <row r="53" spans="1:32" ht="32.25" thickBot="1" x14ac:dyDescent="0.3">
      <c r="A53" s="36" t="s">
        <v>62</v>
      </c>
      <c r="B53" s="37" t="s">
        <v>63</v>
      </c>
      <c r="C53" s="76" t="s">
        <v>64</v>
      </c>
      <c r="D53" s="89"/>
      <c r="E53" s="89"/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1" t="e">
        <f>'[1]елиз-1 '!#REF!</f>
        <v>#REF!</v>
      </c>
      <c r="AF53" s="104"/>
    </row>
    <row r="54" spans="1:32" ht="17.25" customHeight="1" thickBot="1" x14ac:dyDescent="0.3">
      <c r="A54" s="92"/>
      <c r="B54" s="37" t="s">
        <v>65</v>
      </c>
      <c r="C54" s="76"/>
      <c r="D54" s="89"/>
      <c r="E54" s="89"/>
      <c r="F54" s="89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AF54" s="105"/>
    </row>
    <row r="55" spans="1:32" x14ac:dyDescent="0.25">
      <c r="A55" s="93" t="s">
        <v>66</v>
      </c>
      <c r="B55" s="37" t="s">
        <v>67</v>
      </c>
      <c r="C55" s="76" t="s">
        <v>64</v>
      </c>
      <c r="D55" s="89"/>
      <c r="E55" s="89"/>
      <c r="F55" s="8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 t="e">
        <f>'[1]елиз-1 '!#REF!</f>
        <v>#REF!</v>
      </c>
    </row>
    <row r="56" spans="1:32" ht="18" customHeight="1" x14ac:dyDescent="0.25">
      <c r="A56" s="93"/>
      <c r="B56" s="37" t="s">
        <v>68</v>
      </c>
      <c r="C56" s="76" t="s">
        <v>69</v>
      </c>
      <c r="D56" s="44" t="e">
        <f>D60</f>
        <v>#REF!</v>
      </c>
      <c r="E56" s="44">
        <f t="shared" ref="E56:F58" si="16">E60</f>
        <v>4314.1099999999997</v>
      </c>
      <c r="F56" s="44">
        <f t="shared" si="16"/>
        <v>5005.13</v>
      </c>
      <c r="G56" s="44">
        <f>G60</f>
        <v>5093.0085885707158</v>
      </c>
      <c r="H56" s="44">
        <f t="shared" ref="H56:I58" si="17">H60</f>
        <v>5005.13</v>
      </c>
      <c r="I56" s="44">
        <f t="shared" si="17"/>
        <v>5239.78</v>
      </c>
      <c r="J56" s="44">
        <f>J60</f>
        <v>5797.1236894181739</v>
      </c>
      <c r="K56" s="44">
        <f>K60</f>
        <v>5591.98</v>
      </c>
      <c r="L56" s="44">
        <f t="shared" ref="L56" si="18">L60</f>
        <v>6165.78</v>
      </c>
      <c r="M56" s="44">
        <f>M60</f>
        <v>6306.3266076433993</v>
      </c>
      <c r="N56" s="44">
        <f t="shared" ref="N56:O58" si="19">N60</f>
        <v>6165.78</v>
      </c>
      <c r="O56" s="44">
        <f t="shared" si="19"/>
        <v>6536.23</v>
      </c>
      <c r="P56" s="44">
        <f>(Q56*$Q$21+R56*$R$21)/$P$21</f>
        <v>3601.6949152542379</v>
      </c>
      <c r="Q56" s="44">
        <f>R56</f>
        <v>3601.6949152542375</v>
      </c>
      <c r="R56" s="44">
        <f>4250/1.18</f>
        <v>3601.6949152542375</v>
      </c>
      <c r="S56" s="44">
        <f>S60</f>
        <v>6842.3971184318698</v>
      </c>
      <c r="T56" s="44">
        <f t="shared" ref="T56:U58" si="20">T60</f>
        <v>6733.1612413799994</v>
      </c>
      <c r="U56" s="44">
        <f t="shared" si="20"/>
        <v>7036.1534972420986</v>
      </c>
      <c r="V56" s="44" t="e">
        <f t="shared" ref="V56" si="21">V53</f>
        <v>#REF!</v>
      </c>
    </row>
    <row r="57" spans="1:32" x14ac:dyDescent="0.25">
      <c r="A57" s="93"/>
      <c r="B57" s="37" t="s">
        <v>70</v>
      </c>
      <c r="C57" s="76" t="s">
        <v>64</v>
      </c>
      <c r="D57" s="44">
        <f>D61</f>
        <v>7.6623601018223102</v>
      </c>
      <c r="E57" s="44">
        <f t="shared" si="16"/>
        <v>7.09</v>
      </c>
      <c r="F57" s="44">
        <f t="shared" si="16"/>
        <v>8.9</v>
      </c>
      <c r="G57" s="44">
        <f>G61</f>
        <v>8.0623920284916153</v>
      </c>
      <c r="H57" s="44">
        <f t="shared" si="17"/>
        <v>7.98</v>
      </c>
      <c r="I57" s="44">
        <f t="shared" si="17"/>
        <v>8.1999999999999993</v>
      </c>
      <c r="J57" s="44">
        <f>J61</f>
        <v>8.5102703786820904</v>
      </c>
      <c r="K57" s="44">
        <f t="shared" ref="K57:L58" si="22">K61</f>
        <v>8.1999999999999993</v>
      </c>
      <c r="L57" s="44">
        <f t="shared" si="22"/>
        <v>9.11</v>
      </c>
      <c r="M57" s="44">
        <f>M61</f>
        <v>8.3619014438846673</v>
      </c>
      <c r="N57" s="44">
        <f t="shared" si="19"/>
        <v>8.18</v>
      </c>
      <c r="O57" s="44">
        <f t="shared" si="19"/>
        <v>8.66</v>
      </c>
      <c r="P57" s="44">
        <f>(Q57*$Q$21+R57*$R$21)/$P$21</f>
        <v>9.09</v>
      </c>
      <c r="Q57" s="44">
        <f>R57</f>
        <v>9.09</v>
      </c>
      <c r="R57" s="44">
        <v>9.09</v>
      </c>
      <c r="S57" s="44">
        <f>S61</f>
        <v>10.102550622618468</v>
      </c>
      <c r="T57" s="44">
        <f t="shared" si="20"/>
        <v>9.9483113099999976</v>
      </c>
      <c r="U57" s="44">
        <f t="shared" si="20"/>
        <v>10.395985318949997</v>
      </c>
      <c r="V57" s="44" t="e">
        <f t="shared" ref="V57" si="23">V53</f>
        <v>#REF!</v>
      </c>
    </row>
    <row r="58" spans="1:32" x14ac:dyDescent="0.25">
      <c r="A58" s="93"/>
      <c r="B58" s="37" t="s">
        <v>71</v>
      </c>
      <c r="C58" s="76" t="s">
        <v>64</v>
      </c>
      <c r="D58" s="44" t="e">
        <f>D62</f>
        <v>#REF!</v>
      </c>
      <c r="E58" s="44">
        <f t="shared" si="16"/>
        <v>310.37</v>
      </c>
      <c r="F58" s="44">
        <f t="shared" si="16"/>
        <v>360.76</v>
      </c>
      <c r="G58" s="44">
        <f>G62</f>
        <v>402.31347947125397</v>
      </c>
      <c r="H58" s="44">
        <f t="shared" si="17"/>
        <v>395.43</v>
      </c>
      <c r="I58" s="44">
        <f t="shared" si="17"/>
        <v>413.81</v>
      </c>
      <c r="J58" s="44">
        <f>J62</f>
        <v>456.01809281015858</v>
      </c>
      <c r="K58" s="44">
        <f t="shared" si="22"/>
        <v>440.3</v>
      </c>
      <c r="L58" s="44">
        <f t="shared" si="22"/>
        <v>486.4</v>
      </c>
      <c r="M58" s="44">
        <f>M62</f>
        <v>495.06305626500728</v>
      </c>
      <c r="N58" s="44">
        <f t="shared" si="19"/>
        <v>486.4</v>
      </c>
      <c r="O58" s="44">
        <f t="shared" si="19"/>
        <v>509.26</v>
      </c>
      <c r="P58" s="44"/>
      <c r="Q58" s="44"/>
      <c r="R58" s="44"/>
      <c r="S58" s="44">
        <f>S62</f>
        <v>539.39438372093014</v>
      </c>
      <c r="T58" s="44">
        <f t="shared" si="20"/>
        <v>531.16</v>
      </c>
      <c r="U58" s="44">
        <f t="shared" si="20"/>
        <v>555.05999999999995</v>
      </c>
      <c r="V58" s="56"/>
    </row>
    <row r="59" spans="1:32" ht="17.25" customHeight="1" x14ac:dyDescent="0.25">
      <c r="A59" s="93" t="s">
        <v>72</v>
      </c>
      <c r="B59" s="37" t="s">
        <v>24</v>
      </c>
      <c r="C59" s="7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44"/>
      <c r="Q59" s="94"/>
      <c r="R59" s="94"/>
      <c r="S59" s="94"/>
      <c r="T59" s="94"/>
      <c r="U59" s="94"/>
      <c r="V59" s="56"/>
    </row>
    <row r="60" spans="1:32" ht="18" customHeight="1" x14ac:dyDescent="0.25">
      <c r="A60" s="93"/>
      <c r="B60" s="37" t="s">
        <v>68</v>
      </c>
      <c r="C60" s="76" t="s">
        <v>69</v>
      </c>
      <c r="D60" s="44" t="e">
        <f>'[1]елиз-1 '!D57</f>
        <v>#REF!</v>
      </c>
      <c r="E60" s="44">
        <f>'[1]елиз-1 '!E57</f>
        <v>4314.1099999999997</v>
      </c>
      <c r="F60" s="44">
        <f>'[1]елиз-1 '!F57</f>
        <v>5005.13</v>
      </c>
      <c r="G60" s="44">
        <f>'[1]елиз-1 '!I57</f>
        <v>5093.0085885707158</v>
      </c>
      <c r="H60" s="44">
        <f>'[1]елиз-1 '!J57</f>
        <v>5005.13</v>
      </c>
      <c r="I60" s="44">
        <f>'[1]елиз-1 '!K57</f>
        <v>5239.78</v>
      </c>
      <c r="J60" s="44">
        <f>'[1]елиз-1 '!L57</f>
        <v>5797.1236894181739</v>
      </c>
      <c r="K60" s="44">
        <v>5591.98</v>
      </c>
      <c r="L60" s="44">
        <v>6165.78</v>
      </c>
      <c r="M60" s="44">
        <f>'[1]елиз-1 '!O57</f>
        <v>6306.3266076433993</v>
      </c>
      <c r="N60" s="44">
        <f>L60</f>
        <v>6165.78</v>
      </c>
      <c r="O60" s="44">
        <v>6536.23</v>
      </c>
      <c r="P60" s="44">
        <f>(Q60*$Q$22+R60*$R$22)/$P$22</f>
        <v>8011.14</v>
      </c>
      <c r="Q60" s="44">
        <f>R60</f>
        <v>8011.14</v>
      </c>
      <c r="R60" s="44">
        <v>8011.14</v>
      </c>
      <c r="S60" s="44">
        <f>'[1]елиз-1 '!U57</f>
        <v>6842.3971184318698</v>
      </c>
      <c r="T60" s="44">
        <f>'[1]елиз-1 '!V57</f>
        <v>6733.1612413799994</v>
      </c>
      <c r="U60" s="44">
        <f>'[1]елиз-1 '!W57</f>
        <v>7036.1534972420986</v>
      </c>
      <c r="V60" s="56"/>
    </row>
    <row r="61" spans="1:32" x14ac:dyDescent="0.25">
      <c r="A61" s="93"/>
      <c r="B61" s="37" t="s">
        <v>70</v>
      </c>
      <c r="C61" s="76" t="s">
        <v>64</v>
      </c>
      <c r="D61" s="44">
        <f>'[1]елиз-1 '!D59</f>
        <v>7.6623601018223102</v>
      </c>
      <c r="E61" s="44">
        <f>'[1]елиз-1 '!E59</f>
        <v>7.09</v>
      </c>
      <c r="F61" s="44">
        <f>'[1]елиз-1 '!F59</f>
        <v>8.9</v>
      </c>
      <c r="G61" s="44">
        <f>'[1]елиз-1 '!I59</f>
        <v>8.0623920284916153</v>
      </c>
      <c r="H61" s="44">
        <f>'[1]елиз-1 '!J59</f>
        <v>7.98</v>
      </c>
      <c r="I61" s="44">
        <f>'[1]елиз-1 '!K59</f>
        <v>8.1999999999999993</v>
      </c>
      <c r="J61" s="44">
        <f>'[1]елиз-1 '!L59</f>
        <v>8.5102703786820904</v>
      </c>
      <c r="K61" s="44">
        <f>'[1]елиз-1 '!M59</f>
        <v>8.1999999999999993</v>
      </c>
      <c r="L61" s="44">
        <f>'[1]елиз-1 '!N59</f>
        <v>9.11</v>
      </c>
      <c r="M61" s="44">
        <f>'[1]елиз-1 '!O59</f>
        <v>8.3619014438846673</v>
      </c>
      <c r="N61" s="44">
        <v>8.18</v>
      </c>
      <c r="O61" s="44">
        <v>8.66</v>
      </c>
      <c r="P61" s="44">
        <f>(Q61*$Q$22+R61*$R$22)/$P$22</f>
        <v>9.09</v>
      </c>
      <c r="Q61" s="44">
        <f>R61</f>
        <v>9.09</v>
      </c>
      <c r="R61" s="44">
        <v>9.09</v>
      </c>
      <c r="S61" s="44">
        <f>'[1]елиз-1 '!U59</f>
        <v>10.102550622618468</v>
      </c>
      <c r="T61" s="44">
        <f>'[1]елиз-1 '!V59</f>
        <v>9.9483113099999976</v>
      </c>
      <c r="U61" s="44">
        <f>'[1]елиз-1 '!W59</f>
        <v>10.395985318949997</v>
      </c>
      <c r="V61" s="56"/>
    </row>
    <row r="62" spans="1:32" ht="16.5" customHeight="1" x14ac:dyDescent="0.25">
      <c r="A62" s="93"/>
      <c r="B62" s="37" t="s">
        <v>71</v>
      </c>
      <c r="C62" s="76" t="s">
        <v>64</v>
      </c>
      <c r="D62" s="44" t="e">
        <f>'[1]елиз-1 '!D63</f>
        <v>#REF!</v>
      </c>
      <c r="E62" s="44">
        <f>'[1]елиз-1 '!E63</f>
        <v>310.37</v>
      </c>
      <c r="F62" s="44">
        <f>'[1]елиз-1 '!F63</f>
        <v>360.76</v>
      </c>
      <c r="G62" s="44">
        <f>'[1]елиз-1 '!I63</f>
        <v>402.31347947125397</v>
      </c>
      <c r="H62" s="44">
        <f>'[1]елиз-1 '!J63</f>
        <v>395.43</v>
      </c>
      <c r="I62" s="44">
        <f>'[1]елиз-1 '!K63</f>
        <v>413.81</v>
      </c>
      <c r="J62" s="44">
        <f>'[1]елиз-1 '!L63</f>
        <v>456.01809281015858</v>
      </c>
      <c r="K62" s="44">
        <f>'[1]елиз-1 '!M63</f>
        <v>440.3</v>
      </c>
      <c r="L62" s="44">
        <f>'[1]елиз-1 '!N63</f>
        <v>486.4</v>
      </c>
      <c r="M62" s="44">
        <f>'[1]елиз-1 '!O63</f>
        <v>495.06305626500728</v>
      </c>
      <c r="N62" s="44">
        <f>'[1]елиз-1 '!P63</f>
        <v>486.4</v>
      </c>
      <c r="O62" s="44">
        <f>'[1]елиз-1 '!Q63</f>
        <v>509.26</v>
      </c>
      <c r="P62" s="44"/>
      <c r="Q62" s="44"/>
      <c r="R62" s="44"/>
      <c r="S62" s="44">
        <f>'[1]елиз-1 '!U63</f>
        <v>539.39438372093014</v>
      </c>
      <c r="T62" s="44">
        <f>'[1]елиз-1 '!V63</f>
        <v>531.16</v>
      </c>
      <c r="U62" s="44">
        <f>'[1]елиз-1 '!W63</f>
        <v>555.05999999999995</v>
      </c>
      <c r="V62" s="56"/>
    </row>
    <row r="63" spans="1:32" x14ac:dyDescent="0.25">
      <c r="A63" s="93" t="s">
        <v>73</v>
      </c>
      <c r="B63" s="37" t="s">
        <v>26</v>
      </c>
      <c r="C63" s="7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44"/>
      <c r="Q63" s="94"/>
      <c r="R63" s="94"/>
      <c r="S63" s="94"/>
      <c r="T63" s="94"/>
      <c r="U63" s="94"/>
      <c r="V63" s="56"/>
    </row>
    <row r="64" spans="1:32" ht="15" customHeight="1" x14ac:dyDescent="0.25">
      <c r="A64" s="93"/>
      <c r="B64" s="37" t="s">
        <v>68</v>
      </c>
      <c r="C64" s="76" t="s">
        <v>69</v>
      </c>
      <c r="D64" s="95" t="e">
        <f t="shared" ref="D64:U66" si="24">D60</f>
        <v>#REF!</v>
      </c>
      <c r="E64" s="95">
        <f t="shared" si="24"/>
        <v>4314.1099999999997</v>
      </c>
      <c r="F64" s="95">
        <f t="shared" si="24"/>
        <v>5005.13</v>
      </c>
      <c r="G64" s="95">
        <f t="shared" si="24"/>
        <v>5093.0085885707158</v>
      </c>
      <c r="H64" s="95">
        <f t="shared" si="24"/>
        <v>5005.13</v>
      </c>
      <c r="I64" s="95">
        <f t="shared" si="24"/>
        <v>5239.78</v>
      </c>
      <c r="J64" s="95">
        <f t="shared" si="24"/>
        <v>5797.1236894181739</v>
      </c>
      <c r="K64" s="95">
        <f t="shared" si="24"/>
        <v>5591.98</v>
      </c>
      <c r="L64" s="95">
        <f t="shared" si="24"/>
        <v>6165.78</v>
      </c>
      <c r="M64" s="95">
        <f t="shared" si="24"/>
        <v>6306.3266076433993</v>
      </c>
      <c r="N64" s="95">
        <f t="shared" si="24"/>
        <v>6165.78</v>
      </c>
      <c r="O64" s="95">
        <f t="shared" si="24"/>
        <v>6536.23</v>
      </c>
      <c r="P64" s="44">
        <f>(Q64*$Q$23+R64*$R$23)/$P$23</f>
        <v>8011.1399999999994</v>
      </c>
      <c r="Q64" s="95">
        <f>R64</f>
        <v>8011.14</v>
      </c>
      <c r="R64" s="95">
        <f>R60</f>
        <v>8011.14</v>
      </c>
      <c r="S64" s="95">
        <f t="shared" si="24"/>
        <v>6842.3971184318698</v>
      </c>
      <c r="T64" s="95">
        <f t="shared" si="24"/>
        <v>6733.1612413799994</v>
      </c>
      <c r="U64" s="95">
        <f t="shared" si="24"/>
        <v>7036.1534972420986</v>
      </c>
      <c r="V64" s="56"/>
    </row>
    <row r="65" spans="1:29" x14ac:dyDescent="0.25">
      <c r="A65" s="93"/>
      <c r="B65" s="37" t="s">
        <v>70</v>
      </c>
      <c r="C65" s="76" t="s">
        <v>64</v>
      </c>
      <c r="D65" s="95">
        <f t="shared" si="24"/>
        <v>7.6623601018223102</v>
      </c>
      <c r="E65" s="95">
        <f t="shared" si="24"/>
        <v>7.09</v>
      </c>
      <c r="F65" s="95">
        <f t="shared" si="24"/>
        <v>8.9</v>
      </c>
      <c r="G65" s="95">
        <f t="shared" si="24"/>
        <v>8.0623920284916153</v>
      </c>
      <c r="H65" s="95">
        <f t="shared" si="24"/>
        <v>7.98</v>
      </c>
      <c r="I65" s="95">
        <f t="shared" si="24"/>
        <v>8.1999999999999993</v>
      </c>
      <c r="J65" s="95">
        <f t="shared" si="24"/>
        <v>8.5102703786820904</v>
      </c>
      <c r="K65" s="95">
        <f t="shared" si="24"/>
        <v>8.1999999999999993</v>
      </c>
      <c r="L65" s="95">
        <f t="shared" si="24"/>
        <v>9.11</v>
      </c>
      <c r="M65" s="95">
        <f t="shared" si="24"/>
        <v>8.3619014438846673</v>
      </c>
      <c r="N65" s="95">
        <f t="shared" si="24"/>
        <v>8.18</v>
      </c>
      <c r="O65" s="95">
        <f t="shared" si="24"/>
        <v>8.66</v>
      </c>
      <c r="P65" s="44">
        <f>(Q65*$Q$23+R65*$R$23)/$P$23</f>
        <v>9.09</v>
      </c>
      <c r="Q65" s="95">
        <f>R65</f>
        <v>9.09</v>
      </c>
      <c r="R65" s="95">
        <f>R61</f>
        <v>9.09</v>
      </c>
      <c r="S65" s="95">
        <f t="shared" si="24"/>
        <v>10.102550622618468</v>
      </c>
      <c r="T65" s="95">
        <f t="shared" si="24"/>
        <v>9.9483113099999976</v>
      </c>
      <c r="U65" s="95">
        <f t="shared" si="24"/>
        <v>10.395985318949997</v>
      </c>
      <c r="V65" s="56"/>
    </row>
    <row r="66" spans="1:29" x14ac:dyDescent="0.25">
      <c r="A66" s="93"/>
      <c r="B66" s="37" t="s">
        <v>71</v>
      </c>
      <c r="C66" s="76" t="s">
        <v>64</v>
      </c>
      <c r="D66" s="95" t="e">
        <f>D62</f>
        <v>#REF!</v>
      </c>
      <c r="E66" s="95">
        <f t="shared" si="24"/>
        <v>310.37</v>
      </c>
      <c r="F66" s="95">
        <f t="shared" si="24"/>
        <v>360.76</v>
      </c>
      <c r="G66" s="95">
        <f>G62</f>
        <v>402.31347947125397</v>
      </c>
      <c r="H66" s="95">
        <f t="shared" si="24"/>
        <v>395.43</v>
      </c>
      <c r="I66" s="95">
        <f t="shared" si="24"/>
        <v>413.81</v>
      </c>
      <c r="J66" s="95">
        <f t="shared" si="24"/>
        <v>456.01809281015858</v>
      </c>
      <c r="K66" s="95">
        <f t="shared" si="24"/>
        <v>440.3</v>
      </c>
      <c r="L66" s="95">
        <f t="shared" si="24"/>
        <v>486.4</v>
      </c>
      <c r="M66" s="95">
        <f t="shared" si="24"/>
        <v>495.06305626500728</v>
      </c>
      <c r="N66" s="95">
        <f t="shared" si="24"/>
        <v>486.4</v>
      </c>
      <c r="O66" s="95">
        <f t="shared" si="24"/>
        <v>509.26</v>
      </c>
      <c r="P66" s="95"/>
      <c r="Q66" s="95"/>
      <c r="R66" s="95"/>
      <c r="S66" s="95">
        <f t="shared" si="24"/>
        <v>539.39438372093014</v>
      </c>
      <c r="T66" s="95">
        <f t="shared" si="24"/>
        <v>531.16</v>
      </c>
      <c r="U66" s="95">
        <f t="shared" si="24"/>
        <v>555.05999999999995</v>
      </c>
    </row>
    <row r="67" spans="1:29" s="100" customFormat="1" x14ac:dyDescent="0.25">
      <c r="A67" s="66"/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56"/>
      <c r="U67" s="56"/>
      <c r="V67" s="98"/>
      <c r="W67" s="99"/>
      <c r="X67" s="99"/>
      <c r="Y67" s="99"/>
      <c r="Z67" s="99"/>
      <c r="AA67" s="99"/>
      <c r="AB67" s="99"/>
      <c r="AC67" s="99"/>
    </row>
    <row r="68" spans="1:29" s="100" customFormat="1" x14ac:dyDescent="0.25">
      <c r="A68" s="6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98"/>
      <c r="W68" s="99"/>
      <c r="X68" s="99"/>
      <c r="Y68" s="99"/>
      <c r="Z68" s="99"/>
      <c r="AA68" s="99"/>
      <c r="AB68" s="99"/>
      <c r="AC68" s="99"/>
    </row>
  </sheetData>
  <mergeCells count="46">
    <mergeCell ref="A5:B5"/>
    <mergeCell ref="A6:R6"/>
    <mergeCell ref="A14:R14"/>
    <mergeCell ref="A16:A17"/>
    <mergeCell ref="B16:B17"/>
    <mergeCell ref="C16:C17"/>
    <mergeCell ref="D16:F16"/>
    <mergeCell ref="G16:I16"/>
    <mergeCell ref="J16:L16"/>
    <mergeCell ref="M16:O16"/>
    <mergeCell ref="A8:R8"/>
    <mergeCell ref="P10:Q10"/>
    <mergeCell ref="P11:Q11"/>
    <mergeCell ref="P12:Q12"/>
    <mergeCell ref="R11:R12"/>
    <mergeCell ref="D38:G38"/>
    <mergeCell ref="P16:R16"/>
    <mergeCell ref="S16:U16"/>
    <mergeCell ref="B19:R19"/>
    <mergeCell ref="B24:R24"/>
    <mergeCell ref="A30:U30"/>
    <mergeCell ref="A32:A33"/>
    <mergeCell ref="B32:B33"/>
    <mergeCell ref="C32:C33"/>
    <mergeCell ref="D32:H32"/>
    <mergeCell ref="I32:T32"/>
    <mergeCell ref="D33:G33"/>
    <mergeCell ref="D34:G34"/>
    <mergeCell ref="D35:G35"/>
    <mergeCell ref="D36:G36"/>
    <mergeCell ref="D37:G37"/>
    <mergeCell ref="D39:G39"/>
    <mergeCell ref="A42:V42"/>
    <mergeCell ref="A44:A45"/>
    <mergeCell ref="B44:B45"/>
    <mergeCell ref="C44:C45"/>
    <mergeCell ref="D44:F44"/>
    <mergeCell ref="G44:I44"/>
    <mergeCell ref="J44:L44"/>
    <mergeCell ref="M44:O44"/>
    <mergeCell ref="P44:R44"/>
    <mergeCell ref="Q1:R1"/>
    <mergeCell ref="P2:R2"/>
    <mergeCell ref="P3:R3"/>
    <mergeCell ref="P4:R4"/>
    <mergeCell ref="S44:U44"/>
  </mergeCells>
  <pageMargins left="1.5748031496062993" right="0.27559055118110237" top="0.23622047244094491" bottom="0.15748031496062992" header="0.15748031496062992" footer="0.31496062992125984"/>
  <pageSetup paperSize="9" scale="4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Циунель Евгений Николаевич</dc:creator>
  <cp:lastModifiedBy>Циунель Евгений Николаевич</cp:lastModifiedBy>
  <cp:lastPrinted>2017-12-18T02:44:17Z</cp:lastPrinted>
  <dcterms:created xsi:type="dcterms:W3CDTF">2016-12-18T04:26:14Z</dcterms:created>
  <dcterms:modified xsi:type="dcterms:W3CDTF">2018-11-06T23:20:17Z</dcterms:modified>
</cp:coreProperties>
</file>