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24000" windowHeight="9210"/>
  </bookViews>
  <sheets>
    <sheet name="прил. 7.1" sheetId="1" r:id="rId1"/>
    <sheet name="прил. 7.2" sheetId="10" r:id="rId2"/>
    <sheet name="Прил. 8." sheetId="11" r:id="rId3"/>
    <sheet name="прил. 9" sheetId="4" r:id="rId4"/>
    <sheet name="Прил. 12" sheetId="12" r:id="rId5"/>
    <sheet name="Прил. 13" sheetId="13" r:id="rId6"/>
  </sheets>
  <definedNames>
    <definedName name="_xlnm._FilterDatabase" localSheetId="0" hidden="1">'прил. 7.1'!$A$15:$AC$64</definedName>
    <definedName name="_xlnm._FilterDatabase" localSheetId="1" hidden="1">'прил. 7.2'!$A$14:$AN$63</definedName>
    <definedName name="_xlnm._FilterDatabase" localSheetId="3" hidden="1">'прил. 9'!$A$17:$V$66</definedName>
    <definedName name="_xlnm.Print_Titles" localSheetId="5">'Прил. 13'!$17:$17</definedName>
    <definedName name="_xlnm.Print_Titles" localSheetId="0">'прил. 7.1'!$15:$15</definedName>
    <definedName name="_xlnm.Print_Titles" localSheetId="1">'прил. 7.2'!$14:$14</definedName>
    <definedName name="_xlnm.Print_Titles" localSheetId="3">'прил. 9'!$17:$17</definedName>
    <definedName name="_xlnm.Print_Area" localSheetId="0">'прил. 7.1'!$A$1:$AC$77</definedName>
    <definedName name="_xlnm.Print_Area" localSheetId="1">'прил. 7.2'!$A$1:$AN$71</definedName>
    <definedName name="_xlnm.Print_Area" localSheetId="2">'Прил. 8.'!$A$1:$M$51</definedName>
    <definedName name="_xlnm.Print_Area" localSheetId="3">'прил. 9'!$A$1:$V$72</definedName>
  </definedNames>
  <calcPr calcId="145621"/>
</workbook>
</file>

<file path=xl/calcChain.xml><?xml version="1.0" encoding="utf-8"?>
<calcChain xmlns="http://schemas.openxmlformats.org/spreadsheetml/2006/main">
  <c r="Q62" i="10" l="1"/>
  <c r="P62" i="10"/>
  <c r="O62" i="10"/>
  <c r="N62" i="10"/>
  <c r="M62" i="10"/>
  <c r="Q61" i="10"/>
  <c r="P61" i="10"/>
  <c r="O61" i="10"/>
  <c r="N61" i="10"/>
  <c r="M61" i="10"/>
  <c r="Q60" i="10"/>
  <c r="P60" i="10"/>
  <c r="O60" i="10"/>
  <c r="N60" i="10"/>
  <c r="M60" i="10"/>
  <c r="Q59" i="10"/>
  <c r="P59" i="10"/>
  <c r="O59" i="10"/>
  <c r="N59" i="10"/>
  <c r="M59" i="10"/>
  <c r="Q58" i="10"/>
  <c r="P58" i="10"/>
  <c r="O58" i="10"/>
  <c r="N58" i="10"/>
  <c r="M58" i="10"/>
  <c r="Q57" i="10"/>
  <c r="P57" i="10"/>
  <c r="O57" i="10"/>
  <c r="N57" i="10"/>
  <c r="M57" i="10"/>
  <c r="Q56" i="10"/>
  <c r="P56" i="10"/>
  <c r="O56" i="10"/>
  <c r="N56" i="10"/>
  <c r="M56" i="10"/>
  <c r="Q55" i="10"/>
  <c r="P55" i="10"/>
  <c r="O55" i="10"/>
  <c r="N55" i="10"/>
  <c r="M55" i="10"/>
  <c r="Q54" i="10"/>
  <c r="P54" i="10"/>
  <c r="O54" i="10"/>
  <c r="N54" i="10"/>
  <c r="M54" i="10"/>
  <c r="Q53" i="10"/>
  <c r="P53" i="10"/>
  <c r="O53" i="10"/>
  <c r="N53" i="10"/>
  <c r="M53" i="10"/>
  <c r="Q52" i="10"/>
  <c r="P52" i="10"/>
  <c r="O52" i="10"/>
  <c r="N52" i="10"/>
  <c r="M52" i="10"/>
  <c r="Q51" i="10"/>
  <c r="P51" i="10"/>
  <c r="O51" i="10"/>
  <c r="N51" i="10"/>
  <c r="M51" i="10"/>
  <c r="Q50" i="10"/>
  <c r="P50" i="10"/>
  <c r="O50" i="10"/>
  <c r="N50" i="10"/>
  <c r="M50" i="10"/>
  <c r="Q49" i="10"/>
  <c r="P49" i="10"/>
  <c r="O49" i="10"/>
  <c r="N49" i="10"/>
  <c r="M49" i="10"/>
  <c r="Q48" i="10"/>
  <c r="P48" i="10"/>
  <c r="O48" i="10"/>
  <c r="N48" i="10"/>
  <c r="M48" i="10"/>
  <c r="Q47" i="10"/>
  <c r="P47" i="10"/>
  <c r="O47" i="10"/>
  <c r="N47" i="10"/>
  <c r="M47" i="10"/>
  <c r="Q46" i="10"/>
  <c r="P46" i="10"/>
  <c r="O46" i="10"/>
  <c r="N46" i="10"/>
  <c r="M46" i="10"/>
  <c r="Q45" i="10"/>
  <c r="P45" i="10"/>
  <c r="O45" i="10"/>
  <c r="N45" i="10"/>
  <c r="M45" i="10"/>
  <c r="Q44" i="10"/>
  <c r="P44" i="10"/>
  <c r="O44" i="10"/>
  <c r="N44" i="10"/>
  <c r="M44" i="10"/>
  <c r="Q43" i="10"/>
  <c r="P43" i="10"/>
  <c r="O43" i="10"/>
  <c r="N43" i="10"/>
  <c r="M43" i="10"/>
  <c r="Q42" i="10"/>
  <c r="P42" i="10"/>
  <c r="O42" i="10"/>
  <c r="N42" i="10"/>
  <c r="M42" i="10"/>
  <c r="Q41" i="10"/>
  <c r="P41" i="10"/>
  <c r="O41" i="10"/>
  <c r="N41" i="10"/>
  <c r="M41" i="10"/>
  <c r="Q40" i="10"/>
  <c r="P40" i="10"/>
  <c r="O40" i="10"/>
  <c r="N40" i="10"/>
  <c r="M40" i="10"/>
  <c r="Q39" i="10"/>
  <c r="P39" i="10"/>
  <c r="O39" i="10"/>
  <c r="N39" i="10"/>
  <c r="M39" i="10"/>
  <c r="Q38" i="10"/>
  <c r="P38" i="10"/>
  <c r="O38" i="10"/>
  <c r="N38" i="10"/>
  <c r="M38" i="10"/>
  <c r="Q37" i="10"/>
  <c r="P37" i="10"/>
  <c r="O37" i="10"/>
  <c r="N37" i="10"/>
  <c r="M37" i="10"/>
  <c r="Q36" i="10"/>
  <c r="P36" i="10"/>
  <c r="O36" i="10"/>
  <c r="N36" i="10"/>
  <c r="M36" i="10"/>
  <c r="Q35" i="10"/>
  <c r="P35" i="10"/>
  <c r="O35" i="10"/>
  <c r="N35" i="10"/>
  <c r="M35" i="10"/>
  <c r="Q34" i="10"/>
  <c r="P34" i="10"/>
  <c r="O34" i="10"/>
  <c r="N34" i="10"/>
  <c r="M34" i="10"/>
  <c r="Q33" i="10"/>
  <c r="P33" i="10"/>
  <c r="O33" i="10"/>
  <c r="N33" i="10"/>
  <c r="M33" i="10"/>
  <c r="Q32" i="10"/>
  <c r="P32" i="10"/>
  <c r="O32" i="10"/>
  <c r="N32" i="10"/>
  <c r="M32" i="10"/>
  <c r="Q31" i="10"/>
  <c r="P31" i="10"/>
  <c r="O31" i="10"/>
  <c r="N31" i="10"/>
  <c r="M31" i="10"/>
  <c r="Q30" i="10"/>
  <c r="P30" i="10"/>
  <c r="O30" i="10"/>
  <c r="N30" i="10"/>
  <c r="M30" i="10"/>
  <c r="Q29" i="10"/>
  <c r="P29" i="10"/>
  <c r="O29" i="10"/>
  <c r="N29" i="10"/>
  <c r="M29" i="10"/>
  <c r="Q28" i="10"/>
  <c r="P28" i="10"/>
  <c r="O28" i="10"/>
  <c r="N28" i="10"/>
  <c r="M28" i="10"/>
  <c r="Q25" i="10"/>
  <c r="P25" i="10"/>
  <c r="O25" i="10"/>
  <c r="N25" i="10"/>
  <c r="M25" i="10"/>
  <c r="Q24" i="10"/>
  <c r="P24" i="10"/>
  <c r="O24" i="10"/>
  <c r="N24" i="10"/>
  <c r="M24" i="10"/>
  <c r="Q23" i="10"/>
  <c r="P23" i="10"/>
  <c r="O23" i="10"/>
  <c r="N23" i="10"/>
  <c r="M23" i="10"/>
  <c r="Q22" i="10"/>
  <c r="P22" i="10"/>
  <c r="O22" i="10"/>
  <c r="N22" i="10"/>
  <c r="M22" i="10"/>
  <c r="Q21" i="10"/>
  <c r="P21" i="10"/>
  <c r="O21" i="10"/>
  <c r="N21" i="10"/>
  <c r="M21" i="10"/>
  <c r="Q20" i="10"/>
  <c r="P20" i="10"/>
  <c r="O20" i="10"/>
  <c r="N20" i="10"/>
  <c r="M20" i="10"/>
  <c r="Q19" i="10"/>
  <c r="P19" i="10"/>
  <c r="O19" i="10"/>
  <c r="N19" i="10"/>
  <c r="M19" i="10"/>
  <c r="Q18" i="10"/>
  <c r="P18" i="10"/>
  <c r="O18" i="10"/>
  <c r="N18" i="10"/>
  <c r="M18" i="10"/>
  <c r="Q17" i="10"/>
  <c r="P17" i="10"/>
  <c r="O17" i="10"/>
  <c r="N17" i="10"/>
  <c r="M17" i="10"/>
  <c r="Q16" i="10"/>
  <c r="P16" i="10"/>
  <c r="O16" i="10"/>
  <c r="N16" i="10"/>
  <c r="M16" i="10"/>
  <c r="Q15" i="10"/>
  <c r="P15" i="10"/>
  <c r="O15" i="10"/>
  <c r="N15" i="10"/>
  <c r="M15" i="10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6" i="1"/>
  <c r="Z25" i="1"/>
  <c r="Z24" i="1"/>
  <c r="Z23" i="1"/>
  <c r="Z22" i="1"/>
  <c r="Z21" i="1"/>
  <c r="Z20" i="1"/>
  <c r="Z19" i="1"/>
  <c r="Z18" i="1"/>
  <c r="Z17" i="1"/>
  <c r="Z16" i="1"/>
  <c r="Y26" i="1" l="1"/>
  <c r="Y25" i="1"/>
  <c r="Y24" i="1"/>
  <c r="Y23" i="1"/>
  <c r="Y22" i="1"/>
  <c r="Y21" i="1"/>
  <c r="Y20" i="1"/>
  <c r="Y19" i="1"/>
  <c r="Y18" i="1"/>
  <c r="Y17" i="1"/>
  <c r="Y16" i="1"/>
  <c r="Y62" i="1"/>
  <c r="Y61" i="1"/>
  <c r="Y60" i="1"/>
  <c r="Y59" i="1"/>
  <c r="Y58" i="1"/>
  <c r="Y57" i="1"/>
  <c r="Y56" i="1"/>
  <c r="Y55" i="1"/>
  <c r="Y54" i="1"/>
  <c r="Y53" i="1"/>
  <c r="Y52" i="1"/>
  <c r="Y51" i="1"/>
  <c r="Y50" i="1"/>
  <c r="Y49" i="1"/>
  <c r="Y48" i="1"/>
  <c r="Y47" i="1"/>
  <c r="Y46" i="1"/>
  <c r="Y45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63" i="1"/>
  <c r="X33" i="10" l="1"/>
  <c r="Y45" i="10"/>
  <c r="J48" i="10"/>
  <c r="J47" i="10"/>
  <c r="J46" i="10"/>
  <c r="J45" i="10"/>
  <c r="J44" i="10"/>
  <c r="J49" i="10"/>
  <c r="J58" i="10"/>
  <c r="J51" i="10"/>
  <c r="L55" i="10"/>
  <c r="L60" i="10"/>
  <c r="K59" i="10"/>
  <c r="K46" i="10" l="1"/>
  <c r="X45" i="10"/>
  <c r="J50" i="10" l="1"/>
  <c r="H25" i="10" l="1"/>
  <c r="H24" i="10" s="1"/>
  <c r="E37" i="13" l="1"/>
  <c r="H44" i="10" l="1"/>
  <c r="V40" i="10"/>
  <c r="J40" i="10"/>
  <c r="H40" i="10" s="1"/>
  <c r="H58" i="10"/>
  <c r="J60" i="10"/>
  <c r="H60" i="10" s="1"/>
  <c r="H59" i="10"/>
  <c r="H49" i="10"/>
  <c r="H45" i="10"/>
  <c r="H47" i="10"/>
  <c r="H48" i="10"/>
  <c r="H50" i="10"/>
  <c r="J57" i="10"/>
  <c r="H57" i="10" s="1"/>
  <c r="J56" i="10"/>
  <c r="H56" i="10" s="1"/>
  <c r="V38" i="10"/>
  <c r="L38" i="10"/>
  <c r="H51" i="10"/>
  <c r="J53" i="10"/>
  <c r="H55" i="10"/>
  <c r="X39" i="10"/>
  <c r="H39" i="10"/>
  <c r="J39" i="10"/>
  <c r="X29" i="10"/>
  <c r="H29" i="10"/>
  <c r="V23" i="10"/>
  <c r="Z23" i="10" s="1"/>
  <c r="Z17" i="10" s="1"/>
  <c r="J52" i="10"/>
  <c r="H18" i="10"/>
  <c r="V22" i="10"/>
  <c r="Y22" i="10" s="1"/>
  <c r="Y17" i="10" s="1"/>
  <c r="H22" i="10"/>
  <c r="C17" i="10"/>
  <c r="D17" i="10"/>
  <c r="E17" i="10"/>
  <c r="F17" i="10"/>
  <c r="G17" i="10"/>
  <c r="W17" i="10"/>
  <c r="U17" i="10"/>
  <c r="T17" i="10"/>
  <c r="S17" i="10"/>
  <c r="R17" i="10"/>
  <c r="L17" i="10"/>
  <c r="K17" i="10"/>
  <c r="I17" i="10"/>
  <c r="H23" i="10"/>
  <c r="H46" i="10" l="1"/>
  <c r="H17" i="10"/>
  <c r="V34" i="10"/>
  <c r="AC18" i="1" l="1"/>
  <c r="AB18" i="1"/>
  <c r="AA18" i="1"/>
  <c r="W18" i="1"/>
  <c r="V18" i="1"/>
  <c r="U18" i="1"/>
  <c r="T18" i="1"/>
  <c r="R18" i="1"/>
  <c r="Q18" i="1"/>
  <c r="P18" i="1"/>
  <c r="O18" i="1"/>
  <c r="C18" i="1"/>
  <c r="F18" i="1"/>
  <c r="G18" i="1"/>
  <c r="H18" i="1"/>
  <c r="J18" i="1"/>
  <c r="K18" i="1"/>
  <c r="L18" i="1"/>
  <c r="M18" i="1"/>
  <c r="N24" i="1"/>
  <c r="S24" i="1"/>
  <c r="E24" i="1"/>
  <c r="X24" i="1" l="1"/>
  <c r="W25" i="1"/>
  <c r="V25" i="1"/>
  <c r="U25" i="1"/>
  <c r="T25" i="1"/>
  <c r="R25" i="1"/>
  <c r="Q25" i="1"/>
  <c r="P25" i="1"/>
  <c r="O25" i="1"/>
  <c r="M25" i="1"/>
  <c r="L25" i="1"/>
  <c r="K25" i="1"/>
  <c r="J25" i="1"/>
  <c r="I25" i="1"/>
  <c r="H25" i="1"/>
  <c r="G25" i="1"/>
  <c r="F25" i="1"/>
  <c r="I18" i="1"/>
  <c r="J24" i="11"/>
  <c r="D40" i="11" l="1"/>
  <c r="E34" i="11"/>
  <c r="F34" i="11"/>
  <c r="G34" i="11"/>
  <c r="H34" i="11"/>
  <c r="I34" i="11"/>
  <c r="J34" i="11"/>
  <c r="K34" i="11"/>
  <c r="L34" i="11"/>
  <c r="J26" i="11"/>
  <c r="K43" i="10" l="1"/>
  <c r="J43" i="10"/>
  <c r="I43" i="10"/>
  <c r="H43" i="10"/>
  <c r="H41" i="10" s="1"/>
  <c r="K28" i="10"/>
  <c r="I28" i="10"/>
  <c r="I24" i="10"/>
  <c r="J24" i="10"/>
  <c r="K24" i="10"/>
  <c r="L24" i="10"/>
  <c r="J21" i="10"/>
  <c r="J20" i="10"/>
  <c r="J19" i="10"/>
  <c r="J17" i="10" l="1"/>
  <c r="I41" i="10"/>
  <c r="J41" i="10"/>
  <c r="K41" i="10"/>
  <c r="K16" i="10"/>
  <c r="I16" i="10"/>
  <c r="E19" i="1"/>
  <c r="E20" i="1"/>
  <c r="E21" i="1"/>
  <c r="D59" i="1"/>
  <c r="I15" i="10" l="1"/>
  <c r="K15" i="10"/>
  <c r="Z43" i="10"/>
  <c r="W43" i="10"/>
  <c r="Z28" i="10"/>
  <c r="Y28" i="10"/>
  <c r="X28" i="10"/>
  <c r="W28" i="10"/>
  <c r="Z24" i="10"/>
  <c r="W24" i="10"/>
  <c r="W41" i="10" l="1"/>
  <c r="W16" i="10"/>
  <c r="Z16" i="10"/>
  <c r="Z41" i="10"/>
  <c r="C43" i="10"/>
  <c r="C28" i="10"/>
  <c r="C24" i="10"/>
  <c r="D43" i="10"/>
  <c r="E43" i="10"/>
  <c r="F43" i="10"/>
  <c r="G43" i="10"/>
  <c r="R43" i="10"/>
  <c r="S43" i="10"/>
  <c r="T43" i="10"/>
  <c r="U43" i="10"/>
  <c r="R42" i="10"/>
  <c r="S42" i="10"/>
  <c r="T42" i="10"/>
  <c r="U42" i="10"/>
  <c r="D28" i="10"/>
  <c r="E28" i="10"/>
  <c r="F28" i="10"/>
  <c r="G28" i="10"/>
  <c r="R28" i="10"/>
  <c r="S28" i="10"/>
  <c r="T28" i="10"/>
  <c r="U28" i="10"/>
  <c r="D24" i="10"/>
  <c r="E24" i="10"/>
  <c r="F24" i="10"/>
  <c r="G24" i="10"/>
  <c r="R24" i="10"/>
  <c r="S24" i="10"/>
  <c r="T24" i="10"/>
  <c r="U24" i="10"/>
  <c r="V19" i="10"/>
  <c r="V20" i="10"/>
  <c r="V21" i="10"/>
  <c r="V25" i="10"/>
  <c r="V29" i="10"/>
  <c r="V30" i="10"/>
  <c r="V32" i="10"/>
  <c r="V33" i="10"/>
  <c r="V35" i="10"/>
  <c r="V36" i="10"/>
  <c r="V37" i="10"/>
  <c r="V39" i="10"/>
  <c r="V44" i="10"/>
  <c r="V45" i="10"/>
  <c r="V46" i="10"/>
  <c r="V47" i="10"/>
  <c r="V48" i="10"/>
  <c r="V49" i="10"/>
  <c r="V50" i="10"/>
  <c r="V51" i="10"/>
  <c r="V52" i="10"/>
  <c r="V53" i="10"/>
  <c r="V54" i="10"/>
  <c r="V55" i="10"/>
  <c r="V56" i="10"/>
  <c r="V57" i="10"/>
  <c r="V58" i="10"/>
  <c r="V59" i="10"/>
  <c r="V60" i="10"/>
  <c r="V61" i="10"/>
  <c r="V62" i="10"/>
  <c r="W15" i="10" l="1"/>
  <c r="Z15" i="10"/>
  <c r="V17" i="10"/>
  <c r="T41" i="10"/>
  <c r="T16" i="10"/>
  <c r="F41" i="10"/>
  <c r="G41" i="10"/>
  <c r="U16" i="10"/>
  <c r="X21" i="10"/>
  <c r="X20" i="10"/>
  <c r="R16" i="10"/>
  <c r="S16" i="10"/>
  <c r="X19" i="10"/>
  <c r="C41" i="10"/>
  <c r="C16" i="10"/>
  <c r="E16" i="10"/>
  <c r="R41" i="10"/>
  <c r="D41" i="10"/>
  <c r="V24" i="10"/>
  <c r="V43" i="10"/>
  <c r="S41" i="10"/>
  <c r="V28" i="10"/>
  <c r="G16" i="10"/>
  <c r="D16" i="10"/>
  <c r="F16" i="10"/>
  <c r="U41" i="10"/>
  <c r="E41" i="10"/>
  <c r="X17" i="10" l="1"/>
  <c r="U15" i="10"/>
  <c r="T15" i="10"/>
  <c r="R15" i="10"/>
  <c r="F15" i="10"/>
  <c r="G15" i="10"/>
  <c r="C15" i="10"/>
  <c r="S15" i="10"/>
  <c r="E15" i="10"/>
  <c r="D15" i="10"/>
  <c r="V41" i="10"/>
  <c r="V16" i="10"/>
  <c r="V15" i="10" l="1"/>
  <c r="P44" i="1"/>
  <c r="O44" i="1"/>
  <c r="P43" i="1"/>
  <c r="O43" i="1"/>
  <c r="P29" i="1"/>
  <c r="P17" i="1" s="1"/>
  <c r="O29" i="1"/>
  <c r="O17" i="1" s="1"/>
  <c r="AC44" i="1"/>
  <c r="AB44" i="1"/>
  <c r="AA44" i="1"/>
  <c r="W44" i="1"/>
  <c r="V44" i="1"/>
  <c r="U44" i="1"/>
  <c r="T44" i="1"/>
  <c r="R44" i="1"/>
  <c r="Q44" i="1"/>
  <c r="V43" i="1"/>
  <c r="U43" i="1"/>
  <c r="T43" i="1"/>
  <c r="Q43" i="1"/>
  <c r="AB29" i="1"/>
  <c r="AA29" i="1"/>
  <c r="W29" i="1"/>
  <c r="W17" i="1" s="1"/>
  <c r="U29" i="1"/>
  <c r="U17" i="1" s="1"/>
  <c r="T29" i="1"/>
  <c r="T17" i="1" s="1"/>
  <c r="R29" i="1"/>
  <c r="R17" i="1" s="1"/>
  <c r="AC25" i="1"/>
  <c r="AB25" i="1"/>
  <c r="AA25" i="1"/>
  <c r="T42" i="1" l="1"/>
  <c r="T16" i="1" s="1"/>
  <c r="U42" i="1"/>
  <c r="U16" i="1" s="1"/>
  <c r="AA42" i="1"/>
  <c r="Q42" i="1"/>
  <c r="W42" i="1"/>
  <c r="W16" i="1" s="1"/>
  <c r="AC42" i="1"/>
  <c r="AB42" i="1"/>
  <c r="AB17" i="1"/>
  <c r="AA17" i="1"/>
  <c r="P42" i="1"/>
  <c r="P16" i="1" s="1"/>
  <c r="O42" i="1"/>
  <c r="O16" i="1" s="1"/>
  <c r="R42" i="1"/>
  <c r="R16" i="1" s="1"/>
  <c r="V42" i="1"/>
  <c r="AA16" i="1" l="1"/>
  <c r="AB16" i="1"/>
  <c r="D62" i="1"/>
  <c r="D61" i="1"/>
  <c r="D60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1" i="1"/>
  <c r="D40" i="1"/>
  <c r="D39" i="1"/>
  <c r="D38" i="1"/>
  <c r="D37" i="1"/>
  <c r="D36" i="1"/>
  <c r="D35" i="1"/>
  <c r="D34" i="1"/>
  <c r="D33" i="1"/>
  <c r="D32" i="1"/>
  <c r="D31" i="1"/>
  <c r="D30" i="1"/>
  <c r="D26" i="1"/>
  <c r="D19" i="1"/>
  <c r="D21" i="1"/>
  <c r="D22" i="1"/>
  <c r="D23" i="1"/>
  <c r="K28" i="11"/>
  <c r="K26" i="11" s="1"/>
  <c r="E26" i="11"/>
  <c r="F26" i="11"/>
  <c r="G26" i="11"/>
  <c r="H26" i="11"/>
  <c r="I26" i="11"/>
  <c r="L26" i="11"/>
  <c r="F22" i="11"/>
  <c r="F19" i="11" s="1"/>
  <c r="H22" i="11"/>
  <c r="H19" i="11" s="1"/>
  <c r="J22" i="11"/>
  <c r="J19" i="11" s="1"/>
  <c r="L22" i="11"/>
  <c r="L19" i="11" s="1"/>
  <c r="I24" i="11"/>
  <c r="I22" i="11" s="1"/>
  <c r="I19" i="11" s="1"/>
  <c r="H18" i="11" l="1"/>
  <c r="F18" i="11"/>
  <c r="J44" i="1" l="1"/>
  <c r="I44" i="1"/>
  <c r="H44" i="1"/>
  <c r="G44" i="1"/>
  <c r="F44" i="1"/>
  <c r="G31" i="1"/>
  <c r="G29" i="1" s="1"/>
  <c r="G17" i="1" s="1"/>
  <c r="J29" i="1"/>
  <c r="J17" i="1" s="1"/>
  <c r="I29" i="1"/>
  <c r="I17" i="1" s="1"/>
  <c r="H29" i="1"/>
  <c r="H17" i="1" s="1"/>
  <c r="F29" i="1"/>
  <c r="F17" i="1" s="1"/>
  <c r="L44" i="1"/>
  <c r="L29" i="1"/>
  <c r="L17" i="1" s="1"/>
  <c r="I42" i="1" l="1"/>
  <c r="I16" i="1" s="1"/>
  <c r="G42" i="1"/>
  <c r="G16" i="1" s="1"/>
  <c r="L42" i="1"/>
  <c r="L16" i="1" s="1"/>
  <c r="F42" i="1"/>
  <c r="F16" i="1" s="1"/>
  <c r="J42" i="1"/>
  <c r="J16" i="1" s="1"/>
  <c r="H42" i="1"/>
  <c r="H16" i="1" s="1"/>
  <c r="H42" i="11"/>
  <c r="D34" i="11"/>
  <c r="C34" i="11"/>
  <c r="D28" i="11"/>
  <c r="D27" i="11"/>
  <c r="C26" i="11"/>
  <c r="G24" i="11"/>
  <c r="G22" i="11" s="1"/>
  <c r="G19" i="11" s="1"/>
  <c r="G18" i="11" s="1"/>
  <c r="G42" i="11" s="1"/>
  <c r="E24" i="11"/>
  <c r="D24" i="11"/>
  <c r="D22" i="11" s="1"/>
  <c r="D19" i="11" s="1"/>
  <c r="C22" i="11"/>
  <c r="C19" i="11" s="1"/>
  <c r="L18" i="11"/>
  <c r="L42" i="11" s="1"/>
  <c r="J18" i="11"/>
  <c r="F42" i="11"/>
  <c r="L62" i="10"/>
  <c r="L61" i="10"/>
  <c r="Y60" i="10"/>
  <c r="Y59" i="10"/>
  <c r="X58" i="10"/>
  <c r="Y57" i="10"/>
  <c r="Y56" i="10"/>
  <c r="L54" i="10"/>
  <c r="L53" i="10"/>
  <c r="L52" i="10"/>
  <c r="Y50" i="10"/>
  <c r="Y49" i="10"/>
  <c r="Y48" i="10"/>
  <c r="L39" i="10"/>
  <c r="L37" i="10"/>
  <c r="L36" i="10"/>
  <c r="L35" i="10"/>
  <c r="L34" i="10"/>
  <c r="L33" i="10"/>
  <c r="L32" i="10"/>
  <c r="L31" i="10"/>
  <c r="L30" i="10"/>
  <c r="J29" i="10"/>
  <c r="J28" i="10" s="1"/>
  <c r="J16" i="10" s="1"/>
  <c r="J15" i="10" s="1"/>
  <c r="S63" i="1"/>
  <c r="N63" i="1"/>
  <c r="E63" i="1"/>
  <c r="S62" i="1"/>
  <c r="N62" i="1"/>
  <c r="E62" i="1"/>
  <c r="X62" i="1" s="1"/>
  <c r="S61" i="1"/>
  <c r="N61" i="1"/>
  <c r="E61" i="1"/>
  <c r="S60" i="1"/>
  <c r="N60" i="1"/>
  <c r="E60" i="1"/>
  <c r="X60" i="1" s="1"/>
  <c r="S59" i="1"/>
  <c r="N59" i="1"/>
  <c r="E59" i="1"/>
  <c r="X59" i="1" s="1"/>
  <c r="S58" i="1"/>
  <c r="N58" i="1"/>
  <c r="E58" i="1"/>
  <c r="S57" i="1"/>
  <c r="N57" i="1"/>
  <c r="E57" i="1"/>
  <c r="X57" i="1" s="1"/>
  <c r="S56" i="1"/>
  <c r="N56" i="1"/>
  <c r="E56" i="1"/>
  <c r="X56" i="1" s="1"/>
  <c r="S55" i="1"/>
  <c r="N55" i="1"/>
  <c r="E55" i="1"/>
  <c r="S54" i="1"/>
  <c r="N54" i="1"/>
  <c r="E54" i="1"/>
  <c r="S53" i="1"/>
  <c r="N53" i="1"/>
  <c r="E53" i="1"/>
  <c r="X53" i="1" s="1"/>
  <c r="S52" i="1"/>
  <c r="N52" i="1"/>
  <c r="E52" i="1"/>
  <c r="X52" i="1" s="1"/>
  <c r="S51" i="1"/>
  <c r="N51" i="1"/>
  <c r="E51" i="1"/>
  <c r="X51" i="1" s="1"/>
  <c r="S50" i="1"/>
  <c r="N50" i="1"/>
  <c r="E50" i="1"/>
  <c r="S49" i="1"/>
  <c r="N49" i="1"/>
  <c r="E49" i="1"/>
  <c r="X49" i="1" s="1"/>
  <c r="S48" i="1"/>
  <c r="N48" i="1"/>
  <c r="E48" i="1"/>
  <c r="X48" i="1" s="1"/>
  <c r="S47" i="1"/>
  <c r="N47" i="1"/>
  <c r="E47" i="1"/>
  <c r="X47" i="1" s="1"/>
  <c r="S46" i="1"/>
  <c r="N46" i="1"/>
  <c r="E46" i="1"/>
  <c r="S45" i="1"/>
  <c r="N45" i="1"/>
  <c r="E45" i="1"/>
  <c r="X45" i="1" s="1"/>
  <c r="M44" i="1"/>
  <c r="C44" i="1"/>
  <c r="S41" i="1"/>
  <c r="N41" i="1"/>
  <c r="E41" i="1"/>
  <c r="X41" i="1" s="1"/>
  <c r="S40" i="1"/>
  <c r="N40" i="1"/>
  <c r="E40" i="1"/>
  <c r="X40" i="1" s="1"/>
  <c r="S39" i="1"/>
  <c r="N39" i="1"/>
  <c r="E39" i="1"/>
  <c r="S38" i="1"/>
  <c r="N38" i="1"/>
  <c r="E38" i="1"/>
  <c r="S37" i="1"/>
  <c r="N37" i="1"/>
  <c r="E37" i="1"/>
  <c r="X37" i="1" s="1"/>
  <c r="S36" i="1"/>
  <c r="N36" i="1"/>
  <c r="E36" i="1"/>
  <c r="X36" i="1" s="1"/>
  <c r="S35" i="1"/>
  <c r="N35" i="1"/>
  <c r="E35" i="1"/>
  <c r="X35" i="1" s="1"/>
  <c r="S34" i="1"/>
  <c r="N34" i="1"/>
  <c r="E34" i="1"/>
  <c r="X34" i="1" s="1"/>
  <c r="S33" i="1"/>
  <c r="N33" i="1"/>
  <c r="E33" i="1"/>
  <c r="X33" i="1" s="1"/>
  <c r="S32" i="1"/>
  <c r="N32" i="1"/>
  <c r="E32" i="1"/>
  <c r="S31" i="1"/>
  <c r="N31" i="1"/>
  <c r="E31" i="1"/>
  <c r="V30" i="1"/>
  <c r="Q30" i="1"/>
  <c r="Q29" i="1" s="1"/>
  <c r="Q17" i="1" s="1"/>
  <c r="Q16" i="1" s="1"/>
  <c r="E30" i="1"/>
  <c r="M29" i="1"/>
  <c r="M17" i="1" s="1"/>
  <c r="K29" i="1"/>
  <c r="K17" i="1" s="1"/>
  <c r="C29" i="1"/>
  <c r="S26" i="1"/>
  <c r="N26" i="1"/>
  <c r="E26" i="1"/>
  <c r="C25" i="1"/>
  <c r="S23" i="1"/>
  <c r="N23" i="1"/>
  <c r="E23" i="1"/>
  <c r="X23" i="1" s="1"/>
  <c r="S22" i="1"/>
  <c r="N22" i="1"/>
  <c r="E22" i="1"/>
  <c r="X22" i="1" s="1"/>
  <c r="S21" i="1"/>
  <c r="N21" i="1"/>
  <c r="X21" i="1"/>
  <c r="S20" i="1"/>
  <c r="N20" i="1"/>
  <c r="X20" i="1"/>
  <c r="S19" i="1"/>
  <c r="N19" i="1"/>
  <c r="X19" i="1"/>
  <c r="S18" i="1" l="1"/>
  <c r="K24" i="11"/>
  <c r="K22" i="11" s="1"/>
  <c r="K19" i="11" s="1"/>
  <c r="E22" i="11"/>
  <c r="E19" i="11" s="1"/>
  <c r="E18" i="11" s="1"/>
  <c r="E18" i="1"/>
  <c r="N18" i="1"/>
  <c r="M42" i="1"/>
  <c r="M16" i="1" s="1"/>
  <c r="S25" i="1"/>
  <c r="X26" i="1"/>
  <c r="E25" i="1"/>
  <c r="N25" i="1"/>
  <c r="X18" i="1"/>
  <c r="D26" i="11"/>
  <c r="D18" i="11" s="1"/>
  <c r="D42" i="11" s="1"/>
  <c r="L43" i="10"/>
  <c r="X56" i="10"/>
  <c r="X60" i="10"/>
  <c r="X48" i="10"/>
  <c r="X50" i="10"/>
  <c r="X57" i="10"/>
  <c r="X59" i="10"/>
  <c r="X49" i="10"/>
  <c r="Y25" i="10"/>
  <c r="Y24" i="10" s="1"/>
  <c r="Y16" i="10" s="1"/>
  <c r="X25" i="10"/>
  <c r="X24" i="10" s="1"/>
  <c r="X16" i="10" s="1"/>
  <c r="X44" i="10"/>
  <c r="N44" i="1"/>
  <c r="C17" i="1"/>
  <c r="S44" i="1"/>
  <c r="S30" i="1"/>
  <c r="S29" i="1" s="1"/>
  <c r="V29" i="1"/>
  <c r="V17" i="1" s="1"/>
  <c r="V16" i="1" s="1"/>
  <c r="L29" i="10"/>
  <c r="C42" i="1"/>
  <c r="X55" i="1"/>
  <c r="C18" i="11"/>
  <c r="C42" i="11" s="1"/>
  <c r="X39" i="1"/>
  <c r="J42" i="11"/>
  <c r="I18" i="11"/>
  <c r="I42" i="11" s="1"/>
  <c r="K18" i="11"/>
  <c r="K42" i="11" s="1"/>
  <c r="D25" i="1"/>
  <c r="N30" i="1"/>
  <c r="N29" i="1" s="1"/>
  <c r="X31" i="1"/>
  <c r="X61" i="1"/>
  <c r="X32" i="1"/>
  <c r="D44" i="1"/>
  <c r="X30" i="1"/>
  <c r="X38" i="1"/>
  <c r="E44" i="1"/>
  <c r="X46" i="1"/>
  <c r="X50" i="1"/>
  <c r="X54" i="1"/>
  <c r="X58" i="1"/>
  <c r="X63" i="1"/>
  <c r="E29" i="1"/>
  <c r="K44" i="1"/>
  <c r="K42" i="1" s="1"/>
  <c r="K16" i="1" s="1"/>
  <c r="L41" i="10" l="1"/>
  <c r="S17" i="1"/>
  <c r="E17" i="1"/>
  <c r="N17" i="1"/>
  <c r="N42" i="1"/>
  <c r="C16" i="1"/>
  <c r="Y44" i="10"/>
  <c r="X44" i="1"/>
  <c r="E42" i="1"/>
  <c r="X25" i="1"/>
  <c r="S42" i="1"/>
  <c r="X29" i="1"/>
  <c r="E42" i="11"/>
  <c r="D42" i="1"/>
  <c r="E16" i="1" l="1"/>
  <c r="S16" i="1"/>
  <c r="N16" i="1"/>
  <c r="AC29" i="1" s="1"/>
  <c r="AC17" i="1" s="1"/>
  <c r="AC16" i="1" s="1"/>
  <c r="X42" i="1"/>
  <c r="X17" i="1"/>
  <c r="X16" i="1" l="1"/>
  <c r="D29" i="1" l="1"/>
  <c r="V46" i="4" l="1"/>
  <c r="U46" i="4"/>
  <c r="T46" i="4"/>
  <c r="S46" i="4"/>
  <c r="R46" i="4"/>
  <c r="Q46" i="4"/>
  <c r="P46" i="4"/>
  <c r="O46" i="4"/>
  <c r="N46" i="4"/>
  <c r="M46" i="4"/>
  <c r="L46" i="4"/>
  <c r="K46" i="4"/>
  <c r="J46" i="4"/>
  <c r="I46" i="4"/>
  <c r="H46" i="4"/>
  <c r="F46" i="4"/>
  <c r="E46" i="4"/>
  <c r="D46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F27" i="4"/>
  <c r="E27" i="4"/>
  <c r="D27" i="4"/>
  <c r="C46" i="4"/>
  <c r="C31" i="4"/>
  <c r="C27" i="4"/>
  <c r="C20" i="4"/>
  <c r="C44" i="4" l="1"/>
  <c r="C19" i="4"/>
  <c r="C18" i="4" l="1"/>
  <c r="BB43" i="12" l="1"/>
  <c r="CB23" i="12"/>
  <c r="BB23" i="12"/>
  <c r="G51" i="4" l="1"/>
  <c r="G49" i="4"/>
  <c r="V44" i="4"/>
  <c r="U44" i="4"/>
  <c r="T44" i="4"/>
  <c r="S44" i="4"/>
  <c r="R44" i="4"/>
  <c r="Q44" i="4"/>
  <c r="P44" i="4"/>
  <c r="O44" i="4"/>
  <c r="N44" i="4"/>
  <c r="M44" i="4"/>
  <c r="L44" i="4"/>
  <c r="K44" i="4"/>
  <c r="J44" i="4"/>
  <c r="I44" i="4"/>
  <c r="H44" i="4"/>
  <c r="F44" i="4"/>
  <c r="E44" i="4"/>
  <c r="D44" i="4"/>
  <c r="G46" i="4" l="1"/>
  <c r="G27" i="4"/>
  <c r="I31" i="4"/>
  <c r="P31" i="4"/>
  <c r="U31" i="4"/>
  <c r="N31" i="4"/>
  <c r="J31" i="4"/>
  <c r="Q31" i="4"/>
  <c r="V31" i="4"/>
  <c r="E31" i="4"/>
  <c r="L31" i="4"/>
  <c r="R31" i="4"/>
  <c r="H31" i="4"/>
  <c r="M31" i="4"/>
  <c r="T31" i="4"/>
  <c r="D31" i="4"/>
  <c r="O31" i="4"/>
  <c r="F31" i="4"/>
  <c r="K31" i="4"/>
  <c r="S31" i="4"/>
  <c r="G44" i="4" l="1"/>
  <c r="G31" i="4" s="1"/>
  <c r="M20" i="4" l="1"/>
  <c r="M19" i="4" s="1"/>
  <c r="M18" i="4" s="1"/>
  <c r="U20" i="4"/>
  <c r="U19" i="4" s="1"/>
  <c r="U18" i="4" s="1"/>
  <c r="S20" i="4"/>
  <c r="S19" i="4" s="1"/>
  <c r="S18" i="4" s="1"/>
  <c r="R20" i="4"/>
  <c r="R19" i="4" s="1"/>
  <c r="R18" i="4" s="1"/>
  <c r="N20" i="4"/>
  <c r="N19" i="4" s="1"/>
  <c r="N18" i="4" s="1"/>
  <c r="D20" i="4"/>
  <c r="D19" i="4" s="1"/>
  <c r="D18" i="4" s="1"/>
  <c r="T20" i="4"/>
  <c r="T19" i="4" s="1"/>
  <c r="T18" i="4" s="1"/>
  <c r="O20" i="4"/>
  <c r="O19" i="4" s="1"/>
  <c r="O18" i="4" s="1"/>
  <c r="J20" i="4"/>
  <c r="J19" i="4" s="1"/>
  <c r="J18" i="4" s="1"/>
  <c r="E20" i="4"/>
  <c r="E19" i="4" s="1"/>
  <c r="E18" i="4" s="1"/>
  <c r="L20" i="4"/>
  <c r="L19" i="4" s="1"/>
  <c r="L18" i="4" s="1"/>
  <c r="V20" i="4"/>
  <c r="V19" i="4" s="1"/>
  <c r="V18" i="4" s="1"/>
  <c r="I20" i="4"/>
  <c r="I19" i="4" s="1"/>
  <c r="I18" i="4" s="1"/>
  <c r="H20" i="4"/>
  <c r="H19" i="4" s="1"/>
  <c r="H18" i="4" s="1"/>
  <c r="G20" i="4"/>
  <c r="G19" i="4" s="1"/>
  <c r="G18" i="4" s="1"/>
  <c r="F20" i="4"/>
  <c r="F19" i="4" s="1"/>
  <c r="F18" i="4" s="1"/>
  <c r="K20" i="4"/>
  <c r="K19" i="4" s="1"/>
  <c r="K18" i="4" s="1"/>
  <c r="Q20" i="4"/>
  <c r="Q19" i="4" s="1"/>
  <c r="Q18" i="4" s="1"/>
  <c r="P20" i="4"/>
  <c r="P19" i="4" s="1"/>
  <c r="P18" i="4" s="1"/>
  <c r="D18" i="1" l="1"/>
  <c r="D17" i="1" s="1"/>
  <c r="D16" i="1" s="1"/>
  <c r="Y47" i="10" l="1"/>
  <c r="Y43" i="10" s="1"/>
  <c r="Y41" i="10" s="1"/>
  <c r="Y15" i="10" s="1"/>
  <c r="X46" i="10"/>
  <c r="X43" i="10" s="1"/>
  <c r="X41" i="10" s="1"/>
  <c r="X15" i="10" s="1"/>
  <c r="L28" i="10"/>
  <c r="L16" i="10" s="1"/>
  <c r="L15" i="10" s="1"/>
  <c r="H38" i="10"/>
  <c r="H28" i="10" s="1"/>
  <c r="H16" i="10" s="1"/>
  <c r="H15" i="10" s="1"/>
</calcChain>
</file>

<file path=xl/sharedStrings.xml><?xml version="1.0" encoding="utf-8"?>
<sst xmlns="http://schemas.openxmlformats.org/spreadsheetml/2006/main" count="865" uniqueCount="328">
  <si>
    <t>№ №</t>
  </si>
  <si>
    <t>Наименование объекта</t>
  </si>
  <si>
    <t>всего</t>
  </si>
  <si>
    <t>план</t>
  </si>
  <si>
    <t>факт</t>
  </si>
  <si>
    <t>млн. рублей</t>
  </si>
  <si>
    <t>%</t>
  </si>
  <si>
    <t>уточнения стоимости по результатам утвержденной ПСД</t>
  </si>
  <si>
    <t>уточнения стоимости по результатам закупочных процедур</t>
  </si>
  <si>
    <t>в том числе за счет</t>
  </si>
  <si>
    <t>Причины отклонений</t>
  </si>
  <si>
    <t>(подпись)</t>
  </si>
  <si>
    <t>М.П.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</si>
  <si>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</si>
  <si>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</si>
  <si>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</si>
  <si>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</t>
  </si>
  <si>
    <t>2</t>
  </si>
  <si>
    <t>Создание систем противоаварийной и режимной автоматики</t>
  </si>
  <si>
    <t>Создание систем телемеханики
и связи</t>
  </si>
  <si>
    <t>Установка устройств регулирования напряжения и компенсации реактивной мощности</t>
  </si>
  <si>
    <t>Новое строительство</t>
  </si>
  <si>
    <t>Прочее новое строительство</t>
  </si>
  <si>
    <t>Оплата процентов за привлеченные кредитные ресурсы</t>
  </si>
  <si>
    <t>*</t>
  </si>
  <si>
    <t>I кв.</t>
  </si>
  <si>
    <t>II кв.</t>
  </si>
  <si>
    <t>III кв.</t>
  </si>
  <si>
    <t>IV кв.</t>
  </si>
  <si>
    <t>1.1</t>
  </si>
  <si>
    <t>1.2</t>
  </si>
  <si>
    <t>1.3</t>
  </si>
  <si>
    <t>1.4</t>
  </si>
  <si>
    <t>2.1</t>
  </si>
  <si>
    <t>2.2</t>
  </si>
  <si>
    <t>протя-
жен-
ность, км</t>
  </si>
  <si>
    <t>марка кабеля</t>
  </si>
  <si>
    <t>тип опор</t>
  </si>
  <si>
    <t>норма-
тивный срок службы, лет</t>
  </si>
  <si>
    <t>год ввода
в эксплуа-
тацию</t>
  </si>
  <si>
    <t>мощ-
ность, МВА</t>
  </si>
  <si>
    <t>тепловая энергия, Гкал/час</t>
  </si>
  <si>
    <t>мощ-
ность, МВт</t>
  </si>
  <si>
    <t>прочие</t>
  </si>
  <si>
    <t>оборудо-
вание и мате-
риалы</t>
  </si>
  <si>
    <t>СМР</t>
  </si>
  <si>
    <t>ПИР</t>
  </si>
  <si>
    <t>иные объекты</t>
  </si>
  <si>
    <t>линии электропередачи</t>
  </si>
  <si>
    <t>подстанции</t>
  </si>
  <si>
    <t>генерирующие объекты</t>
  </si>
  <si>
    <t>Технические характеристики созданных объектов</t>
  </si>
  <si>
    <t>вне ДПМ</t>
  </si>
  <si>
    <t>ДПМ</t>
  </si>
  <si>
    <t>для ОГК/ТГК, в том числе</t>
  </si>
  <si>
    <t>ВСЕГО источников финансирования</t>
  </si>
  <si>
    <t>Прочие привлеченные средства</t>
  </si>
  <si>
    <t>2.7.</t>
  </si>
  <si>
    <t>Использование лизинга</t>
  </si>
  <si>
    <t>2.6.</t>
  </si>
  <si>
    <t>Средства внешних инвесторов</t>
  </si>
  <si>
    <t>2.5.</t>
  </si>
  <si>
    <t>Бюджетное финансирование</t>
  </si>
  <si>
    <t>2.4.</t>
  </si>
  <si>
    <t>Займы организаций</t>
  </si>
  <si>
    <t>2.3.</t>
  </si>
  <si>
    <t>Облигационные займы</t>
  </si>
  <si>
    <t>2.2.</t>
  </si>
  <si>
    <t>Кредиты</t>
  </si>
  <si>
    <t>2.1.</t>
  </si>
  <si>
    <t>Привлеченные средства, в т.ч.:</t>
  </si>
  <si>
    <t>2.</t>
  </si>
  <si>
    <t>Остаток собственных средств на начало года</t>
  </si>
  <si>
    <t>1.5.</t>
  </si>
  <si>
    <t>в т.ч. средства допэмиссии</t>
  </si>
  <si>
    <t>1.4.1.</t>
  </si>
  <si>
    <t>Прочие собственные средства</t>
  </si>
  <si>
    <t>1.4.</t>
  </si>
  <si>
    <t>Возврат НДС</t>
  </si>
  <si>
    <t>1.3.</t>
  </si>
  <si>
    <t>Недоиспользованная амортизация прошлых лет</t>
  </si>
  <si>
    <t>1.2.3.</t>
  </si>
  <si>
    <t>Прочая амортизация</t>
  </si>
  <si>
    <t>1.2.2.</t>
  </si>
  <si>
    <t>Амортизация, учтенная в тарифе</t>
  </si>
  <si>
    <t>1.2.1.</t>
  </si>
  <si>
    <t>Амортизация</t>
  </si>
  <si>
    <t>1.2.</t>
  </si>
  <si>
    <t>Прочая прибыль</t>
  </si>
  <si>
    <t>1.1.4.</t>
  </si>
  <si>
    <t>в т.ч. от технологического присоединения потребителей</t>
  </si>
  <si>
    <t>1.1.3.2.</t>
  </si>
  <si>
    <t>в т.ч. от технологического присоединения генерации</t>
  </si>
  <si>
    <t>1.1.3.1.</t>
  </si>
  <si>
    <t>в т.ч. от технологического присоединения (для электросетевых компаний)</t>
  </si>
  <si>
    <t>1.1.3.</t>
  </si>
  <si>
    <t>в т.ч. прибыль со свободного сектора</t>
  </si>
  <si>
    <t>1.1.2.</t>
  </si>
  <si>
    <t>в т.ч. инвестиционная составляющая в тарифе</t>
  </si>
  <si>
    <t>1.1.1.</t>
  </si>
  <si>
    <t>Прибыль, направляемая на инвестиции:</t>
  </si>
  <si>
    <t>1.1.</t>
  </si>
  <si>
    <t>Собственные средства</t>
  </si>
  <si>
    <t>факт **</t>
  </si>
  <si>
    <t>план *</t>
  </si>
  <si>
    <t>Источник финансирования</t>
  </si>
  <si>
    <t>МВт, Гкал/час, км, МВА</t>
  </si>
  <si>
    <t>Вывод мощностей</t>
  </si>
  <si>
    <t>Ввод мощностей</t>
  </si>
  <si>
    <t>Наименование проекта</t>
  </si>
  <si>
    <t>№ п/п</t>
  </si>
  <si>
    <t>По кредитам и займам необходимо указать сумму открытых кредитных линий и сумму реально выбранных средств.</t>
  </si>
  <si>
    <t>Пояснения по расчету кредитного потенциала</t>
  </si>
  <si>
    <t>на период 2010 - 2012 гг.</t>
  </si>
  <si>
    <t>на 2010 г.</t>
  </si>
  <si>
    <t>Собственная оценка кредитного потенциала:</t>
  </si>
  <si>
    <t>Оценка кредитного потенциала</t>
  </si>
  <si>
    <t>Дефицит финансирования</t>
  </si>
  <si>
    <t>Обеспеченность источниками финансирования</t>
  </si>
  <si>
    <t>Профинансировано на отчетную дату</t>
  </si>
  <si>
    <t>Всего потребность в финансировании инвестиционной программы</t>
  </si>
  <si>
    <t>Оценка обеспеченности инвестиционных программ</t>
  </si>
  <si>
    <t>Сумма процентов, выплаченных по кредитам и займам</t>
  </si>
  <si>
    <t>по поставкам топлива</t>
  </si>
  <si>
    <t>по ремонтам</t>
  </si>
  <si>
    <t>по строительству</t>
  </si>
  <si>
    <t>кредиторская задолженность, в т.ч.:</t>
  </si>
  <si>
    <t>кредиты и займы*</t>
  </si>
  <si>
    <t>Краткосрочные обязательства, в т.ч.:</t>
  </si>
  <si>
    <t>прочее</t>
  </si>
  <si>
    <t>займы организаций</t>
  </si>
  <si>
    <t>облигационные займы</t>
  </si>
  <si>
    <t>кредиты</t>
  </si>
  <si>
    <t>* Заемный капитал (долгосрочные обязательства),
в т.ч.:</t>
  </si>
  <si>
    <t>Собственный капитал</t>
  </si>
  <si>
    <t>авансы выданные</t>
  </si>
  <si>
    <t>покупатели и заказчики</t>
  </si>
  <si>
    <t>Дебиторская задолженность, в т.ч.:</t>
  </si>
  <si>
    <t>EBITDA</t>
  </si>
  <si>
    <t>другое (расшифровать)</t>
  </si>
  <si>
    <t>дивиденды</t>
  </si>
  <si>
    <t>Направления распределения чистой прибыли:</t>
  </si>
  <si>
    <t>Чистая прибыль</t>
  </si>
  <si>
    <t>Выручка</t>
  </si>
  <si>
    <t>на конец отчетного квартала/за отчетный квартал</t>
  </si>
  <si>
    <t>место учета</t>
  </si>
  <si>
    <t>Наименование показателя</t>
  </si>
  <si>
    <t>года/</t>
  </si>
  <si>
    <t>квартал</t>
  </si>
  <si>
    <t>Приложение № 12
к Приказу Минэнерго России
от 24.03.2010 № 114</t>
  </si>
  <si>
    <t>Реконструкция ОРУ-35 кВ с установкой двух линейных ячеек на РТП-Приморская 110/35/6кВ мкр. Сельдевая (оборудование) инв. № 865116898</t>
  </si>
  <si>
    <t>Прочие направления</t>
  </si>
  <si>
    <t>1.5</t>
  </si>
  <si>
    <t>Технологическое присоединение объектов инфраструктуры администрации Вилючинского городского округа</t>
  </si>
  <si>
    <t>Поставка автомобильной и специальной техники</t>
  </si>
  <si>
    <t>ААБ 3х25+1х16</t>
  </si>
  <si>
    <t>2015</t>
  </si>
  <si>
    <t>на конец 2015 года/
за 2015год</t>
  </si>
  <si>
    <t>количество
и марка силовых трансформаторов, шт.</t>
  </si>
  <si>
    <t>год ввода
в эксплуатацию</t>
  </si>
  <si>
    <t>Реконструкция ВЛ-0,4 кВ МТП-848 ф.1 - ул 2-я Шевченко (поселок) инв. № 865162842</t>
  </si>
  <si>
    <t>Реконструкция ВЛ-0,4 кВ ТП-219 (ПРЭС) ф.2 - ул.Красногвардейская инв.№865117183 дог87</t>
  </si>
  <si>
    <t>Реконструкция ВЛ-0,4 кВ ТП-821 ф.1 - ул.Фурманова инв №865117185</t>
  </si>
  <si>
    <t>Реконструкция ВЛ-0,4 кВ ТП-839 ф.2 - ул.Степная инв № 865117187</t>
  </si>
  <si>
    <t>Реконструкция ВЛ-0,4 кВ ТП-847 ф.5 - ул. 2-я Шевченко  инв №865178152</t>
  </si>
  <si>
    <t>Реконструкция Оборудование РТП-Крашенинникова инв.№865116964</t>
  </si>
  <si>
    <t>Реконструкция ВЛ-0,4 кВ ТП-847 ф.5 - ул. 2-я Шевченко  инв №865178152 дог18</t>
  </si>
  <si>
    <t>Реконструкция ВЛ-0,4 кВ ТП-839 ф.4 - ул.Стеллера инв №865117181</t>
  </si>
  <si>
    <t>Реконструкция ВЛ-0,4 кВ ТП-301 - ф.25, ул.  Владивостокская инв.№865183243</t>
  </si>
  <si>
    <t>Приложение № 7.2
к Приказу Минэнерго России
от 24.03.2010 № 114</t>
  </si>
  <si>
    <t>Финансовые показатели за отчетный период</t>
  </si>
  <si>
    <t>год</t>
  </si>
  <si>
    <t>Утверждаю
Директор филиала "Камчатский" 
АО "Оборонэнерго"</t>
  </si>
  <si>
    <t>Реконструкция Оборудование ТП-364 инв № 865117002</t>
  </si>
  <si>
    <t xml:space="preserve">всего </t>
  </si>
  <si>
    <t>за 2 кв.</t>
  </si>
  <si>
    <t>за 1 кв.</t>
  </si>
  <si>
    <t xml:space="preserve">Реконструкция ТП-305 ф.3 - ул.Заводская ВЛ-0,4 кВ СИП-4 4*35 0,202 км инв. №865117174 </t>
  </si>
  <si>
    <t>Утверждаю</t>
  </si>
  <si>
    <t>за 4 кв.</t>
  </si>
  <si>
    <t>Приложение № 7.1
к Приказу Минэнерго России
от 24.03.2010 № 114</t>
  </si>
  <si>
    <t>Освоено (закрыто актами выполненных работ), млн. рублей (без НДС)</t>
  </si>
  <si>
    <t>16.1.</t>
  </si>
  <si>
    <t>16.2.</t>
  </si>
  <si>
    <t>16.3.</t>
  </si>
  <si>
    <t>15.1.</t>
  </si>
  <si>
    <t>15.2.</t>
  </si>
  <si>
    <t>15.3.</t>
  </si>
  <si>
    <t>15.4.</t>
  </si>
  <si>
    <t xml:space="preserve">Строительство ПС 110/6 кВ "Стеллера" для технологического присоединения объектов шифр 628/П" Строоительство и реконструкция объектов причального фронта в/ч 62695" и шифр 720/К "Дооборудование пункта хранения, подготовки и выдачи изделий" </t>
  </si>
  <si>
    <t>Реконструкция ВЛЭП-0,4 кВ ВЛ 0,4 ТП 546-2 ф. котельная, казарма, инв. № 864014241</t>
  </si>
  <si>
    <t>к Приказу Минэнерго России от 24.03.2010 № 114</t>
  </si>
  <si>
    <t>&lt;1&gt; В ценах отчетного года.</t>
  </si>
  <si>
    <t>&lt;2&gt; План согласно утвержденной инвестиционной программе.</t>
  </si>
  <si>
    <t>&lt;3&gt; Накопленным итогом за год.</t>
  </si>
  <si>
    <t>* План в соответствии с утвержденной инвестиционной программой.</t>
  </si>
  <si>
    <t>**Накопленным итогом за год.</t>
  </si>
  <si>
    <t>Приложение № 8
к Приказу Минэнерго России
от 24.03.2010 № 114</t>
  </si>
  <si>
    <t>Строительство в рамках технологического присоединения объекта шифр 628/П (РП-18, РП-19)  (Строительство и реконструкция объектов энергообеспечения войсковой части 62695 )</t>
  </si>
  <si>
    <t>Замены МВ на ВВ на ТП-114 2х630 кВА, мкр Антенное поле, П-К, (оборудование) инв. № 865117041- 1 шт.</t>
  </si>
  <si>
    <t>Строительство «КЛ-0,4 кВ ТП-353 ф.7 - гараж»</t>
  </si>
  <si>
    <t xml:space="preserve"> Cтроительство «ВЛ-0,23 кВ опора № 15 (ВЛ-0,4 кВ ТП-302 ф.9 - ул. Садовая) – дачный дом» </t>
  </si>
  <si>
    <t>Замена ячеек КСО-366 с МВ выключателями на ячейки КСО-298Н с ВВ выключателями на ТП-104 1х400 кВА, ул. Океанская, П-К, (оборудование) инв. № 865117033 - 1 шт.</t>
  </si>
  <si>
    <t>Замена ячеек КСО-366 с МВ выключателями на ячейки КСО-298Н с ВВ выключателями на ТП-105 1х630 кВА, 1х500 кВА, мкр Антенное поле, П-К (оборудование) инв. № 865117035 - 1 шт.</t>
  </si>
  <si>
    <t>Замена ячеек КСО-366 с МВ выключателями на ячейки КСО-298Н с ВВ выключателями на ТП-128 2х630 кВА (оборудование) инв. № 865117053 - 1 шт.</t>
  </si>
  <si>
    <t>1.1.1</t>
  </si>
  <si>
    <t>1.1.2</t>
  </si>
  <si>
    <t>1.1.3</t>
  </si>
  <si>
    <t>1.1.4</t>
  </si>
  <si>
    <t>1.1.5</t>
  </si>
  <si>
    <t>1.1.6</t>
  </si>
  <si>
    <t>1.2.1</t>
  </si>
  <si>
    <t>1.5.1</t>
  </si>
  <si>
    <t>1.5.2</t>
  </si>
  <si>
    <t>1.5.3</t>
  </si>
  <si>
    <t>1.5.4</t>
  </si>
  <si>
    <t>1.5.5</t>
  </si>
  <si>
    <t>1.5.6</t>
  </si>
  <si>
    <t>1.5.7</t>
  </si>
  <si>
    <t>1.5.8</t>
  </si>
  <si>
    <t>1.5.9</t>
  </si>
  <si>
    <t>1.5.10</t>
  </si>
  <si>
    <t>1.5.11</t>
  </si>
  <si>
    <t>1.5.12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</si>
  <si>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</si>
  <si>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</si>
  <si>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</si>
  <si>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</si>
  <si>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</si>
  <si>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</si>
  <si>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</si>
  <si>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</si>
  <si>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</si>
  <si>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</si>
  <si>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</si>
  <si>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</si>
  <si>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</si>
  <si>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</si>
  <si>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</si>
  <si>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</si>
  <si>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</si>
  <si>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</si>
  <si>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Оплата МПЗ в целях осуществления технологического присоединения объекта по адресу: г. Петропавловск-Камчатский, ул. Боевая, д.16, кв. 2.</t>
  </si>
  <si>
    <t>2017 г.</t>
  </si>
  <si>
    <t>Наименование объекта &lt;1&gt;</t>
  </si>
  <si>
    <t>2017</t>
  </si>
  <si>
    <t xml:space="preserve">1 кв. </t>
  </si>
  <si>
    <t>Приложение №9
к Приказу Минэнерго России
от 24.03.2010 № 114</t>
  </si>
  <si>
    <t>Отчет об источниках финансирования инвестиционных программ за 2017 год, млн. рублей</t>
  </si>
  <si>
    <t>14</t>
  </si>
  <si>
    <t xml:space="preserve">2 кв. </t>
  </si>
  <si>
    <t xml:space="preserve">3 кв. </t>
  </si>
  <si>
    <t xml:space="preserve">4 кв. </t>
  </si>
  <si>
    <t xml:space="preserve">      Утверждаю </t>
  </si>
  <si>
    <t>Приложение № 13</t>
  </si>
  <si>
    <t>к Приказу Минэнерго России</t>
  </si>
  <si>
    <t>от 24.03.2010 № 114</t>
  </si>
  <si>
    <t>Отчет о техническом состоянии объекта</t>
  </si>
  <si>
    <t>№
п/п</t>
  </si>
  <si>
    <t>Наименование направления/
проекта инвестиционной программы</t>
  </si>
  <si>
    <t>Технические характеристики</t>
  </si>
  <si>
    <t>Сроки реализации проекта</t>
  </si>
  <si>
    <t>Наличие исходно-разрешительной документации</t>
  </si>
  <si>
    <t>мощность, МВт, МВА</t>
  </si>
  <si>
    <t>выработка, млн. кВт/ч</t>
  </si>
  <si>
    <t>длина ВЛ,
км</t>
  </si>
  <si>
    <t>год начала строительства</t>
  </si>
  <si>
    <t>год ввода в эксплуатацию</t>
  </si>
  <si>
    <t>утвержденная проектно-сметная документация
(+; -)</t>
  </si>
  <si>
    <t>заключение Главгосэкспертизы России
(+; -)</t>
  </si>
  <si>
    <t>оформленный в соответствии с законодательством землеотвод (+; -)</t>
  </si>
  <si>
    <t>разрешение на строительство (+; -)</t>
  </si>
  <si>
    <t>-</t>
  </si>
  <si>
    <t>+</t>
  </si>
  <si>
    <t>Строительство и реконструкция сооружений причаольного фронта  в рамках технологического присоединения.--шифр 583 и  Пункт хранения, подготовки и выдачи изделий МПО - шифр 720/Б. Объект  ПС 110/6 кВ "Богатыревка"</t>
  </si>
  <si>
    <t>Строительство в рамках технологического присоединения.Объекты шифр 3002/Р и Строительство и реконструкция специальных сооружений в/ч 31268 - шифр 720. Объект ПС 110/6 кВ "Чайка"</t>
  </si>
  <si>
    <t xml:space="preserve">Строительство в рамках технологического присоединения объектов  шифр  699/Р "Пункт базирования надводных кораблей проекта 20380 в/ч 40149" .Объект ПС 110/6 кВ "Южная" </t>
  </si>
  <si>
    <t>Введено (оформлено актами ввода в эксплуатацию), млн. рублей (без НДС)</t>
  </si>
  <si>
    <t>2017 год</t>
  </si>
  <si>
    <t>Фактически освоено
 (закрыто актами выполненных работ),
 млн. руб. с НДС</t>
  </si>
  <si>
    <t>Плановой объем финансирования, 
млн. руб. с НДС
&lt;1&gt;</t>
  </si>
  <si>
    <t>Фактически профинансировано,
 млн. руб. с НДС</t>
  </si>
  <si>
    <t>Строительство и реконструкция в рамках технологического присоединения объекта шифр 3002/ПВ "Строительство и реконструкция объектов пункта погрузки изделий - ПС 35/6 кВ Вилюй</t>
  </si>
  <si>
    <t>Строительство в рамках технологического присоединения КЛ-0,4 кВ ТП-28 ф.4 ул. Петра Ильичева,38</t>
  </si>
  <si>
    <t>Строительство в рамках технологического присоединения ВЛ-0.4 кВ (ТП-855) штаб инв. № 240 - ул. Солнечная, 41</t>
  </si>
  <si>
    <t>Строительство в рамках технологического присоединения ВЛ-0,4 кВ ТП-847 ф.6-жилой дом (ул. 2-я Шевченко)</t>
  </si>
  <si>
    <t>Строительство в рамках технологического присоединения ВЛ-0.4 кВ ТП-386 ф.11 - владение 36 (СНТ "Пионер")</t>
  </si>
  <si>
    <t xml:space="preserve"> Строительство в рамках технологического присоединения КЛ-0.4 кВ ТП-366 ф.1 - магазин промтоваров</t>
  </si>
  <si>
    <t>Капитальное  строительство в рамках технологического присоединения объекта  " Комплекс служебно-технических зданий ПБККС, причальный фронт ПБККС"</t>
  </si>
  <si>
    <t>Поставка "Компьютеры персональные" для филиала "Камчатский" АО "Оборонэнерго"</t>
  </si>
  <si>
    <t>за 3 кв.</t>
  </si>
  <si>
    <t>Модернизация ВЛ-0,4 кВ ТП-110 ф.21 - Уличное освещение, инв. № 865117182</t>
  </si>
  <si>
    <t xml:space="preserve"> Строительство в рамках технологического присоединения КЛ-0.4 кВ ТП-399 - станция тех. обслуживания</t>
  </si>
  <si>
    <t>13</t>
  </si>
  <si>
    <t>15</t>
  </si>
  <si>
    <t>16</t>
  </si>
  <si>
    <t>17</t>
  </si>
  <si>
    <t>18</t>
  </si>
  <si>
    <t>19</t>
  </si>
  <si>
    <t>20</t>
  </si>
  <si>
    <t>21</t>
  </si>
  <si>
    <t>Отклонение</t>
  </si>
  <si>
    <t>Объем финансирования 2017 год, млн. рублей (с НДС)</t>
  </si>
  <si>
    <t xml:space="preserve">
Остаток стоимости на начало года</t>
  </si>
  <si>
    <t xml:space="preserve">план </t>
  </si>
  <si>
    <t xml:space="preserve">Осталось профинансировать по результатам отчетного периода </t>
  </si>
  <si>
    <t>Строительство в рамках технологического присоединения зоны хранения №1,2,3 в/ч 26942" (шифры П-42/11-1, П-41/11-2, П-41/11-3 Южные Коряки) - ПС 35/10 кВ Арсенал</t>
  </si>
  <si>
    <t>Всего 
за год</t>
  </si>
  <si>
    <t>Начальник ПЭС</t>
  </si>
  <si>
    <t>А.В. Чеша</t>
  </si>
  <si>
    <t xml:space="preserve">Отчет об исполнении инвестиционной программы за 4-ый  квартал 2017 года, млн. рублей </t>
  </si>
  <si>
    <t>________________Д.В. Добротин</t>
  </si>
  <si>
    <t>Отчет об исполнении основных этапов работ по реализации инвестиционной программы компании за 4-ый квартал 2017 года</t>
  </si>
  <si>
    <t>Директор филиала  "Камчатский" АО "Оборонэнерго"
АО "Оборонэнерго"</t>
  </si>
  <si>
    <t>Директор филиала  "Камчатский" АО "Оборонэнерго"</t>
  </si>
  <si>
    <t>Директор филиала "Камчатский" АО "Оборонэнерго"
АО "Оборонэнерго"</t>
  </si>
  <si>
    <t>Отчет о вводах/выводах объектов в 4-ом квартале 2017 года</t>
  </si>
  <si>
    <t>Директор филиала "Камчатский" АО "Оборонэнерго"</t>
  </si>
  <si>
    <t>4</t>
  </si>
  <si>
    <t>Первый заместитель директора - главный инженер</t>
  </si>
  <si>
    <t>А.А. Андреенков</t>
  </si>
  <si>
    <t>"________" февраля 2018 года</t>
  </si>
  <si>
    <t>"____"  февраля 2018 года</t>
  </si>
  <si>
    <t>"____" февраля 2018 года</t>
  </si>
  <si>
    <t>"____" февраля  2018 года</t>
  </si>
  <si>
    <t>Отклонение фактической стоимости
 работ от плановой стоимости, 
млн. руб.</t>
  </si>
  <si>
    <t>Начальник ПЭО</t>
  </si>
  <si>
    <t>Е.Л. Тарнавская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</si>
</sst>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0.000"/>
    <numFmt numFmtId="166" formatCode="0.0000"/>
    <numFmt numFmtId="167" formatCode="_-* #,##0.000_р_._-;\-* #,##0.000_р_._-;_-* &quot;-&quot;???_р_._-;_-@_-"/>
  </numFmts>
  <fonts count="24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5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0" fontId="11" fillId="0" borderId="0"/>
    <xf numFmtId="0" fontId="13" fillId="0" borderId="0"/>
  </cellStyleXfs>
  <cellXfs count="408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Fill="1"/>
    <xf numFmtId="0" fontId="5" fillId="0" borderId="1" xfId="0" applyFont="1" applyFill="1" applyBorder="1"/>
    <xf numFmtId="0" fontId="5" fillId="0" borderId="2" xfId="0" applyFont="1" applyFill="1" applyBorder="1"/>
    <xf numFmtId="0" fontId="5" fillId="0" borderId="3" xfId="0" applyFont="1" applyFill="1" applyBorder="1"/>
    <xf numFmtId="0" fontId="8" fillId="0" borderId="0" xfId="0" applyFont="1" applyFill="1"/>
    <xf numFmtId="0" fontId="10" fillId="0" borderId="0" xfId="0" applyFont="1"/>
    <xf numFmtId="166" fontId="6" fillId="0" borderId="0" xfId="0" applyNumberFormat="1" applyFont="1" applyFill="1" applyAlignment="1">
      <alignment vertical="center" wrapText="1"/>
    </xf>
    <xf numFmtId="0" fontId="6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0" fontId="6" fillId="0" borderId="0" xfId="0" applyFont="1" applyFill="1"/>
    <xf numFmtId="0" fontId="6" fillId="0" borderId="11" xfId="0" applyFont="1" applyFill="1" applyBorder="1" applyAlignment="1">
      <alignment horizontal="left" vertical="center" wrapText="1"/>
    </xf>
    <xf numFmtId="164" fontId="6" fillId="0" borderId="1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 applyAlignment="1">
      <alignment horizontal="left" vertical="center" wrapText="1"/>
    </xf>
    <xf numFmtId="165" fontId="14" fillId="0" borderId="0" xfId="0" applyNumberFormat="1" applyFont="1" applyFill="1" applyAlignment="1">
      <alignment horizontal="center" vertical="center" wrapText="1"/>
    </xf>
    <xf numFmtId="166" fontId="6" fillId="0" borderId="0" xfId="0" applyNumberFormat="1" applyFont="1" applyFill="1" applyBorder="1" applyAlignment="1">
      <alignment horizontal="center" vertical="center" wrapText="1"/>
    </xf>
    <xf numFmtId="166" fontId="14" fillId="0" borderId="0" xfId="0" applyNumberFormat="1" applyFont="1" applyFill="1" applyAlignment="1">
      <alignment horizontal="left" vertical="center" wrapText="1"/>
    </xf>
    <xf numFmtId="166" fontId="14" fillId="4" borderId="11" xfId="0" applyNumberFormat="1" applyFont="1" applyFill="1" applyBorder="1" applyAlignment="1">
      <alignment horizontal="left" vertical="center" wrapText="1"/>
    </xf>
    <xf numFmtId="166" fontId="6" fillId="0" borderId="11" xfId="0" applyNumberFormat="1" applyFont="1" applyFill="1" applyBorder="1" applyAlignment="1">
      <alignment horizontal="left"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164" fontId="14" fillId="0" borderId="11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/>
    </xf>
    <xf numFmtId="166" fontId="15" fillId="0" borderId="11" xfId="0" applyNumberFormat="1" applyFont="1" applyFill="1" applyBorder="1" applyAlignment="1">
      <alignment horizontal="left" vertical="center" wrapText="1"/>
    </xf>
    <xf numFmtId="165" fontId="6" fillId="0" borderId="11" xfId="0" applyNumberFormat="1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left" vertical="center" wrapText="1"/>
    </xf>
    <xf numFmtId="0" fontId="6" fillId="0" borderId="11" xfId="2" applyFont="1" applyFill="1" applyBorder="1" applyAlignment="1">
      <alignment horizontal="left" vertical="center" wrapText="1"/>
    </xf>
    <xf numFmtId="166" fontId="14" fillId="4" borderId="11" xfId="0" applyNumberFormat="1" applyFont="1" applyFill="1" applyBorder="1" applyAlignment="1">
      <alignment horizontal="center" vertical="center" wrapText="1"/>
    </xf>
    <xf numFmtId="166" fontId="6" fillId="5" borderId="11" xfId="0" applyNumberFormat="1" applyFont="1" applyFill="1" applyBorder="1" applyAlignment="1">
      <alignment horizontal="left" vertical="center" wrapText="1"/>
    </xf>
    <xf numFmtId="49" fontId="6" fillId="5" borderId="1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Alignment="1">
      <alignment horizontal="center" vertical="center" wrapText="1"/>
    </xf>
    <xf numFmtId="165" fontId="14" fillId="4" borderId="11" xfId="0" applyNumberFormat="1" applyFont="1" applyFill="1" applyBorder="1" applyAlignment="1">
      <alignment horizontal="center" vertical="center" wrapText="1"/>
    </xf>
    <xf numFmtId="165" fontId="6" fillId="5" borderId="11" xfId="0" applyNumberFormat="1" applyFont="1" applyFill="1" applyBorder="1" applyAlignment="1">
      <alignment horizontal="center" vertical="center" wrapText="1"/>
    </xf>
    <xf numFmtId="165" fontId="15" fillId="4" borderId="11" xfId="0" applyNumberFormat="1" applyFont="1" applyFill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left" vertical="center" wrapText="1"/>
    </xf>
    <xf numFmtId="49" fontId="14" fillId="0" borderId="1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165" fontId="6" fillId="0" borderId="0" xfId="0" applyNumberFormat="1" applyFont="1" applyFill="1" applyAlignment="1">
      <alignment horizontal="center" vertical="center"/>
    </xf>
    <xf numFmtId="0" fontId="1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165" fontId="6" fillId="0" borderId="11" xfId="0" applyNumberFormat="1" applyFont="1" applyFill="1" applyBorder="1" applyAlignment="1">
      <alignment horizontal="center" vertical="center"/>
    </xf>
    <xf numFmtId="1" fontId="6" fillId="0" borderId="11" xfId="0" applyNumberFormat="1" applyFont="1" applyFill="1" applyBorder="1" applyAlignment="1">
      <alignment horizontal="center" vertical="center" wrapText="1"/>
    </xf>
    <xf numFmtId="165" fontId="14" fillId="0" borderId="11" xfId="0" applyNumberFormat="1" applyFont="1" applyFill="1" applyBorder="1" applyAlignment="1">
      <alignment horizontal="center" vertical="center"/>
    </xf>
    <xf numFmtId="0" fontId="6" fillId="0" borderId="11" xfId="0" applyFont="1" applyFill="1" applyBorder="1"/>
    <xf numFmtId="0" fontId="6" fillId="0" borderId="11" xfId="0" applyNumberFormat="1" applyFont="1" applyFill="1" applyBorder="1" applyAlignment="1">
      <alignment horizontal="center" vertical="center"/>
    </xf>
    <xf numFmtId="0" fontId="6" fillId="0" borderId="0" xfId="0" applyFont="1" applyBorder="1"/>
    <xf numFmtId="0" fontId="14" fillId="0" borderId="0" xfId="0" applyFont="1" applyAlignment="1">
      <alignment horizontal="center"/>
    </xf>
    <xf numFmtId="0" fontId="14" fillId="0" borderId="11" xfId="0" applyFont="1" applyBorder="1" applyAlignment="1">
      <alignment horizontal="center" vertical="center"/>
    </xf>
    <xf numFmtId="0" fontId="14" fillId="6" borderId="11" xfId="0" applyFont="1" applyFill="1" applyBorder="1" applyAlignment="1">
      <alignment horizontal="center" vertical="center"/>
    </xf>
    <xf numFmtId="164" fontId="6" fillId="0" borderId="11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wrapText="1"/>
    </xf>
    <xf numFmtId="49" fontId="6" fillId="0" borderId="11" xfId="0" applyNumberFormat="1" applyFont="1" applyFill="1" applyBorder="1" applyAlignment="1">
      <alignment wrapText="1"/>
    </xf>
    <xf numFmtId="165" fontId="14" fillId="0" borderId="11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Alignment="1">
      <alignment vertical="center" wrapText="1"/>
    </xf>
    <xf numFmtId="0" fontId="9" fillId="0" borderId="0" xfId="0" applyFont="1"/>
    <xf numFmtId="164" fontId="14" fillId="4" borderId="11" xfId="0" applyNumberFormat="1" applyFont="1" applyFill="1" applyBorder="1" applyAlignment="1">
      <alignment horizontal="center" vertical="center" wrapText="1"/>
    </xf>
    <xf numFmtId="164" fontId="14" fillId="0" borderId="11" xfId="0" applyNumberFormat="1" applyFont="1" applyFill="1" applyBorder="1" applyAlignment="1">
      <alignment horizontal="center" vertical="center"/>
    </xf>
    <xf numFmtId="164" fontId="6" fillId="0" borderId="11" xfId="0" applyNumberFormat="1" applyFont="1" applyFill="1" applyBorder="1"/>
    <xf numFmtId="166" fontId="6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horizontal="right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vertical="center"/>
    </xf>
    <xf numFmtId="166" fontId="14" fillId="0" borderId="0" xfId="0" applyNumberFormat="1" applyFont="1" applyFill="1" applyAlignment="1">
      <alignment horizontal="center" vertical="center" wrapText="1"/>
    </xf>
    <xf numFmtId="166" fontId="6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164" fontId="6" fillId="0" borderId="11" xfId="0" applyNumberFormat="1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165" fontId="6" fillId="0" borderId="5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 applyAlignment="1">
      <alignment horizontal="center" vertical="center" wrapText="1"/>
    </xf>
    <xf numFmtId="166" fontId="14" fillId="0" borderId="0" xfId="0" applyNumberFormat="1" applyFont="1" applyFill="1" applyAlignment="1">
      <alignment horizontal="center" vertical="center" wrapText="1"/>
    </xf>
    <xf numFmtId="166" fontId="6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1" fillId="0" borderId="0" xfId="0" applyFont="1"/>
    <xf numFmtId="166" fontId="6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166" fontId="6" fillId="0" borderId="0" xfId="0" applyNumberFormat="1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/>
    </xf>
    <xf numFmtId="166" fontId="3" fillId="0" borderId="0" xfId="0" applyNumberFormat="1" applyFont="1" applyFill="1" applyAlignment="1">
      <alignment horizontal="center" vertical="center" wrapText="1"/>
    </xf>
    <xf numFmtId="166" fontId="4" fillId="0" borderId="0" xfId="0" applyNumberFormat="1" applyFont="1" applyFill="1" applyAlignment="1">
      <alignment horizontal="right" vertical="center" wrapText="1"/>
    </xf>
    <xf numFmtId="49" fontId="3" fillId="0" borderId="0" xfId="0" applyNumberFormat="1" applyFont="1" applyBorder="1" applyAlignment="1">
      <alignment horizontal="center"/>
    </xf>
    <xf numFmtId="0" fontId="1" fillId="0" borderId="0" xfId="0" applyFont="1" applyAlignment="1">
      <alignment vertical="center"/>
    </xf>
    <xf numFmtId="166" fontId="10" fillId="0" borderId="0" xfId="0" applyNumberFormat="1" applyFont="1" applyFill="1" applyAlignment="1">
      <alignment horizontal="center" vertical="center" wrapText="1"/>
    </xf>
    <xf numFmtId="166" fontId="10" fillId="0" borderId="0" xfId="0" applyNumberFormat="1" applyFont="1" applyFill="1" applyAlignment="1">
      <alignment horizontal="center" vertical="center" wrapText="1"/>
    </xf>
    <xf numFmtId="166" fontId="10" fillId="0" borderId="0" xfId="0" applyNumberFormat="1" applyFont="1" applyFill="1" applyBorder="1" applyAlignment="1">
      <alignment horizontal="left" vertical="center" wrapText="1"/>
    </xf>
    <xf numFmtId="166" fontId="10" fillId="0" borderId="0" xfId="0" applyNumberFormat="1" applyFont="1" applyFill="1" applyBorder="1" applyAlignment="1">
      <alignment horizontal="center" vertical="center" wrapText="1"/>
    </xf>
    <xf numFmtId="165" fontId="18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 wrapText="1"/>
    </xf>
    <xf numFmtId="166" fontId="10" fillId="0" borderId="0" xfId="0" applyNumberFormat="1" applyFont="1" applyFill="1" applyBorder="1" applyAlignment="1">
      <alignment horizontal="left" vertical="center" wrapText="1"/>
    </xf>
    <xf numFmtId="166" fontId="10" fillId="0" borderId="0" xfId="0" applyNumberFormat="1" applyFont="1" applyFill="1" applyAlignment="1">
      <alignment horizontal="left" vertical="center" wrapText="1"/>
    </xf>
    <xf numFmtId="166" fontId="18" fillId="0" borderId="0" xfId="0" applyNumberFormat="1" applyFont="1" applyFill="1" applyAlignment="1">
      <alignment horizontal="center" vertical="center" wrapText="1"/>
    </xf>
    <xf numFmtId="165" fontId="18" fillId="0" borderId="0" xfId="0" applyNumberFormat="1" applyFont="1" applyFill="1" applyAlignment="1">
      <alignment horizontal="center" vertical="center" wrapText="1"/>
    </xf>
    <xf numFmtId="165" fontId="10" fillId="0" borderId="0" xfId="0" applyNumberFormat="1" applyFont="1" applyFill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166" fontId="10" fillId="0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4" fillId="3" borderId="0" xfId="0" applyFont="1" applyFill="1" applyBorder="1" applyAlignment="1"/>
    <xf numFmtId="0" fontId="2" fillId="0" borderId="11" xfId="0" applyFont="1" applyBorder="1" applyAlignment="1">
      <alignment horizontal="center" vertical="center" wrapText="1"/>
    </xf>
    <xf numFmtId="166" fontId="1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Alignment="1">
      <alignment horizontal="right"/>
    </xf>
    <xf numFmtId="166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6" fontId="1" fillId="0" borderId="0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center" vertical="center" wrapText="1"/>
    </xf>
    <xf numFmtId="166" fontId="2" fillId="4" borderId="11" xfId="0" applyNumberFormat="1" applyFont="1" applyFill="1" applyBorder="1" applyAlignment="1">
      <alignment horizontal="left" vertical="center" wrapText="1"/>
    </xf>
    <xf numFmtId="0" fontId="2" fillId="4" borderId="11" xfId="0" applyFont="1" applyFill="1" applyBorder="1" applyAlignment="1"/>
    <xf numFmtId="0" fontId="1" fillId="4" borderId="11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/>
    </xf>
    <xf numFmtId="0" fontId="2" fillId="0" borderId="0" xfId="0" applyFont="1" applyAlignment="1"/>
    <xf numFmtId="0" fontId="1" fillId="0" borderId="0" xfId="0" applyFont="1" applyAlignment="1"/>
    <xf numFmtId="49" fontId="1" fillId="0" borderId="11" xfId="0" applyNumberFormat="1" applyFont="1" applyFill="1" applyBorder="1" applyAlignment="1">
      <alignment horizontal="center" vertical="center" wrapText="1"/>
    </xf>
    <xf numFmtId="166" fontId="1" fillId="0" borderId="11" xfId="0" applyNumberFormat="1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/>
    </xf>
    <xf numFmtId="0" fontId="1" fillId="0" borderId="11" xfId="0" applyFont="1" applyFill="1" applyBorder="1"/>
    <xf numFmtId="165" fontId="5" fillId="0" borderId="11" xfId="0" applyNumberFormat="1" applyFont="1" applyFill="1" applyBorder="1" applyAlignment="1">
      <alignment horizontal="center" vertical="center" wrapText="1"/>
    </xf>
    <xf numFmtId="1" fontId="5" fillId="0" borderId="11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4" borderId="11" xfId="0" applyFont="1" applyFill="1" applyBorder="1"/>
    <xf numFmtId="165" fontId="1" fillId="0" borderId="11" xfId="0" applyNumberFormat="1" applyFont="1" applyFill="1" applyBorder="1" applyAlignment="1">
      <alignment horizontal="center" vertical="center" wrapText="1"/>
    </xf>
    <xf numFmtId="1" fontId="1" fillId="0" borderId="11" xfId="0" applyNumberFormat="1" applyFont="1" applyFill="1" applyBorder="1" applyAlignment="1">
      <alignment horizontal="center" vertical="center" wrapText="1"/>
    </xf>
    <xf numFmtId="166" fontId="2" fillId="4" borderId="11" xfId="0" applyNumberFormat="1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left" vertical="center" wrapText="1"/>
    </xf>
    <xf numFmtId="0" fontId="1" fillId="0" borderId="11" xfId="2" applyFont="1" applyFill="1" applyBorder="1" applyAlignment="1">
      <alignment horizontal="left" vertical="center" wrapText="1"/>
    </xf>
    <xf numFmtId="166" fontId="21" fillId="0" borderId="11" xfId="0" applyNumberFormat="1" applyFont="1" applyFill="1" applyBorder="1" applyAlignment="1">
      <alignment horizontal="left" vertical="center" wrapText="1"/>
    </xf>
    <xf numFmtId="49" fontId="1" fillId="5" borderId="11" xfId="0" applyNumberFormat="1" applyFont="1" applyFill="1" applyBorder="1" applyAlignment="1">
      <alignment horizontal="center" vertical="center" wrapText="1"/>
    </xf>
    <xf numFmtId="166" fontId="1" fillId="5" borderId="11" xfId="0" applyNumberFormat="1" applyFont="1" applyFill="1" applyBorder="1" applyAlignment="1">
      <alignment horizontal="left" vertical="center" wrapText="1"/>
    </xf>
    <xf numFmtId="166" fontId="10" fillId="0" borderId="0" xfId="0" applyNumberFormat="1" applyFont="1" applyFill="1" applyAlignment="1">
      <alignment horizontal="center" vertical="center" wrapText="1"/>
    </xf>
    <xf numFmtId="166" fontId="6" fillId="0" borderId="0" xfId="0" applyNumberFormat="1" applyFont="1" applyFill="1" applyAlignment="1">
      <alignment horizontal="center" vertical="center" wrapText="1"/>
    </xf>
    <xf numFmtId="166" fontId="14" fillId="0" borderId="1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 applyAlignment="1">
      <alignment horizontal="center" vertical="center" wrapText="1"/>
    </xf>
    <xf numFmtId="0" fontId="6" fillId="0" borderId="11" xfId="0" applyFont="1" applyFill="1" applyBorder="1" applyAlignment="1">
      <alignment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center" vertical="center" wrapText="1"/>
    </xf>
    <xf numFmtId="1" fontId="14" fillId="0" borderId="11" xfId="0" applyNumberFormat="1" applyFont="1" applyFill="1" applyBorder="1" applyAlignment="1">
      <alignment horizontal="center" vertical="center" wrapText="1"/>
    </xf>
    <xf numFmtId="165" fontId="6" fillId="0" borderId="14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Alignment="1">
      <alignment horizontal="center" vertical="center" wrapText="1"/>
    </xf>
    <xf numFmtId="166" fontId="6" fillId="0" borderId="0" xfId="0" applyNumberFormat="1" applyFont="1" applyFill="1" applyAlignment="1">
      <alignment horizontal="center" vertical="center" wrapText="1"/>
    </xf>
    <xf numFmtId="164" fontId="14" fillId="5" borderId="11" xfId="0" applyNumberFormat="1" applyFont="1" applyFill="1" applyBorder="1" applyAlignment="1">
      <alignment horizontal="center" vertical="center" wrapText="1"/>
    </xf>
    <xf numFmtId="164" fontId="6" fillId="5" borderId="11" xfId="0" applyNumberFormat="1" applyFont="1" applyFill="1" applyBorder="1" applyAlignment="1">
      <alignment horizontal="center" vertical="center"/>
    </xf>
    <xf numFmtId="164" fontId="6" fillId="5" borderId="11" xfId="0" applyNumberFormat="1" applyFont="1" applyFill="1" applyBorder="1" applyAlignment="1">
      <alignment vertical="center"/>
    </xf>
    <xf numFmtId="0" fontId="6" fillId="5" borderId="11" xfId="0" applyFont="1" applyFill="1" applyBorder="1" applyAlignment="1">
      <alignment vertical="center"/>
    </xf>
    <xf numFmtId="166" fontId="14" fillId="0" borderId="11" xfId="0" applyNumberFormat="1" applyFont="1" applyFill="1" applyBorder="1" applyAlignment="1">
      <alignment horizontal="center" vertical="center" wrapText="1"/>
    </xf>
    <xf numFmtId="166" fontId="6" fillId="0" borderId="11" xfId="0" applyNumberFormat="1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>
      <alignment horizontal="left" vertical="center" wrapText="1"/>
    </xf>
    <xf numFmtId="166" fontId="10" fillId="0" borderId="0" xfId="0" applyNumberFormat="1" applyFont="1" applyFill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/>
    </xf>
    <xf numFmtId="166" fontId="6" fillId="0" borderId="0" xfId="0" applyNumberFormat="1" applyFont="1" applyFill="1" applyAlignment="1">
      <alignment horizontal="center" vertical="center" wrapText="1"/>
    </xf>
    <xf numFmtId="164" fontId="1" fillId="0" borderId="11" xfId="0" applyNumberFormat="1" applyFont="1" applyFill="1" applyBorder="1" applyAlignment="1">
      <alignment horizontal="left" vertical="center"/>
    </xf>
    <xf numFmtId="0" fontId="1" fillId="0" borderId="0" xfId="0" applyFont="1" applyFill="1" applyBorder="1"/>
    <xf numFmtId="0" fontId="17" fillId="0" borderId="0" xfId="0" applyFont="1" applyFill="1"/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/>
    </xf>
    <xf numFmtId="0" fontId="2" fillId="0" borderId="11" xfId="0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left" vertical="center"/>
    </xf>
    <xf numFmtId="0" fontId="1" fillId="0" borderId="11" xfId="0" applyNumberFormat="1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center" vertical="center" wrapText="1"/>
    </xf>
    <xf numFmtId="164" fontId="17" fillId="0" borderId="0" xfId="0" applyNumberFormat="1" applyFont="1" applyFill="1"/>
    <xf numFmtId="49" fontId="2" fillId="0" borderId="11" xfId="0" applyNumberFormat="1" applyFont="1" applyFill="1" applyBorder="1" applyAlignment="1">
      <alignment horizontal="left" vertical="center"/>
    </xf>
    <xf numFmtId="0" fontId="1" fillId="0" borderId="0" xfId="0" applyFont="1" applyFill="1"/>
    <xf numFmtId="0" fontId="1" fillId="5" borderId="3" xfId="0" applyNumberFormat="1" applyFont="1" applyFill="1" applyBorder="1" applyAlignment="1">
      <alignment horizontal="left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2" fillId="6" borderId="11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6" fillId="5" borderId="11" xfId="0" applyFont="1" applyFill="1" applyBorder="1"/>
    <xf numFmtId="0" fontId="1" fillId="5" borderId="11" xfId="0" applyFont="1" applyFill="1" applyBorder="1"/>
    <xf numFmtId="0" fontId="1" fillId="5" borderId="11" xfId="0" applyFont="1" applyFill="1" applyBorder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 wrapText="1"/>
    </xf>
    <xf numFmtId="166" fontId="4" fillId="0" borderId="0" xfId="0" applyNumberFormat="1" applyFont="1" applyFill="1" applyAlignment="1">
      <alignment horizontal="left" vertical="center" wrapText="1"/>
    </xf>
    <xf numFmtId="165" fontId="3" fillId="0" borderId="0" xfId="0" applyNumberFormat="1" applyFont="1" applyFill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166" fontId="5" fillId="0" borderId="0" xfId="0" applyNumberFormat="1" applyFont="1" applyFill="1" applyAlignment="1">
      <alignment horizontal="center" vertical="center" wrapText="1"/>
    </xf>
    <xf numFmtId="166" fontId="5" fillId="0" borderId="0" xfId="0" applyNumberFormat="1" applyFont="1" applyFill="1" applyBorder="1" applyAlignment="1">
      <alignment horizontal="left" vertical="center" wrapText="1"/>
    </xf>
    <xf numFmtId="166" fontId="5" fillId="0" borderId="0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166" fontId="5" fillId="0" borderId="0" xfId="0" applyNumberFormat="1" applyFont="1" applyFill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166" fontId="5" fillId="0" borderId="0" xfId="0" applyNumberFormat="1" applyFont="1" applyFill="1" applyAlignment="1">
      <alignment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center"/>
    </xf>
    <xf numFmtId="0" fontId="6" fillId="4" borderId="11" xfId="0" applyFont="1" applyFill="1" applyBorder="1"/>
    <xf numFmtId="166" fontId="1" fillId="0" borderId="0" xfId="0" applyNumberFormat="1" applyFont="1" applyFill="1" applyAlignment="1">
      <alignment horizontal="right" vertical="center" wrapText="1"/>
    </xf>
    <xf numFmtId="166" fontId="1" fillId="0" borderId="0" xfId="0" applyNumberFormat="1" applyFont="1" applyFill="1" applyAlignment="1">
      <alignment horizontal="center" vertical="center" wrapText="1"/>
    </xf>
    <xf numFmtId="166" fontId="6" fillId="0" borderId="0" xfId="0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1" xfId="0" applyFont="1" applyFill="1" applyBorder="1" applyAlignment="1">
      <alignment horizontal="center" vertical="center" wrapText="1"/>
    </xf>
    <xf numFmtId="166" fontId="1" fillId="0" borderId="0" xfId="0" applyNumberFormat="1" applyFont="1" applyFill="1" applyAlignment="1">
      <alignment horizontal="right" vertical="center" wrapText="1" indent="1"/>
    </xf>
    <xf numFmtId="166" fontId="2" fillId="0" borderId="0" xfId="0" applyNumberFormat="1" applyFont="1" applyFill="1" applyAlignment="1">
      <alignment horizontal="right" vertical="center" wrapText="1" indent="1"/>
    </xf>
    <xf numFmtId="0" fontId="1" fillId="0" borderId="0" xfId="0" applyFont="1" applyFill="1" applyAlignment="1">
      <alignment horizontal="right" vertical="center" wrapText="1" indent="1"/>
    </xf>
    <xf numFmtId="0" fontId="1" fillId="0" borderId="0" xfId="0" applyFont="1" applyFill="1" applyAlignment="1">
      <alignment horizontal="right" indent="1"/>
    </xf>
    <xf numFmtId="0" fontId="1" fillId="0" borderId="0" xfId="0" applyFont="1" applyFill="1" applyBorder="1" applyAlignment="1">
      <alignment horizontal="right" indent="1"/>
    </xf>
    <xf numFmtId="0" fontId="17" fillId="0" borderId="0" xfId="0" applyFont="1" applyFill="1" applyAlignment="1">
      <alignment horizontal="right" indent="1"/>
    </xf>
    <xf numFmtId="0" fontId="2" fillId="0" borderId="0" xfId="0" applyFont="1" applyFill="1" applyAlignment="1">
      <alignment horizontal="right" vertical="center" wrapText="1" indent="1"/>
    </xf>
    <xf numFmtId="1" fontId="2" fillId="0" borderId="0" xfId="0" applyNumberFormat="1" applyFont="1" applyFill="1" applyAlignment="1">
      <alignment horizontal="right" vertical="center" wrapText="1" indent="1"/>
    </xf>
    <xf numFmtId="0" fontId="2" fillId="0" borderId="0" xfId="0" applyFont="1" applyFill="1" applyBorder="1" applyAlignment="1">
      <alignment horizontal="right" vertical="center" wrapText="1" indent="1"/>
    </xf>
    <xf numFmtId="0" fontId="1" fillId="0" borderId="0" xfId="0" applyFont="1" applyFill="1" applyAlignment="1">
      <alignment horizontal="right" vertical="center" indent="1"/>
    </xf>
    <xf numFmtId="1" fontId="1" fillId="0" borderId="0" xfId="0" applyNumberFormat="1" applyFont="1" applyFill="1" applyAlignment="1">
      <alignment horizontal="right" vertical="center" indent="1"/>
    </xf>
    <xf numFmtId="166" fontId="6" fillId="0" borderId="0" xfId="0" applyNumberFormat="1" applyFont="1" applyFill="1" applyAlignment="1">
      <alignment horizontal="right" vertical="center" wrapText="1" indent="1"/>
    </xf>
    <xf numFmtId="166" fontId="14" fillId="0" borderId="0" xfId="0" applyNumberFormat="1" applyFont="1" applyFill="1" applyAlignment="1">
      <alignment horizontal="right" vertical="center" wrapText="1" indent="1"/>
    </xf>
    <xf numFmtId="0" fontId="6" fillId="0" borderId="0" xfId="0" applyFont="1" applyBorder="1" applyAlignment="1">
      <alignment horizontal="right" indent="1"/>
    </xf>
    <xf numFmtId="166" fontId="5" fillId="0" borderId="0" xfId="0" applyNumberFormat="1" applyFont="1" applyFill="1" applyAlignment="1">
      <alignment horizontal="right" vertical="center" wrapText="1" indent="2"/>
    </xf>
    <xf numFmtId="0" fontId="5" fillId="0" borderId="0" xfId="0" applyFont="1" applyAlignment="1">
      <alignment horizontal="right" vertical="center" indent="2"/>
    </xf>
    <xf numFmtId="166" fontId="9" fillId="0" borderId="0" xfId="0" applyNumberFormat="1" applyFont="1" applyFill="1" applyAlignment="1">
      <alignment horizontal="right" vertical="center" wrapText="1" indent="2"/>
    </xf>
    <xf numFmtId="0" fontId="5" fillId="0" borderId="0" xfId="0" applyFont="1" applyAlignment="1">
      <alignment horizontal="right" indent="2"/>
    </xf>
    <xf numFmtId="164" fontId="6" fillId="0" borderId="6" xfId="0" applyNumberFormat="1" applyFont="1" applyFill="1" applyBorder="1" applyAlignment="1">
      <alignment horizontal="center" vertical="center"/>
    </xf>
    <xf numFmtId="164" fontId="6" fillId="8" borderId="11" xfId="0" applyNumberFormat="1" applyFont="1" applyFill="1" applyBorder="1" applyAlignment="1">
      <alignment horizontal="center" vertical="center"/>
    </xf>
    <xf numFmtId="164" fontId="1" fillId="0" borderId="11" xfId="0" applyNumberFormat="1" applyFont="1" applyBorder="1" applyAlignment="1">
      <alignment horizontal="left" vertical="center"/>
    </xf>
    <xf numFmtId="166" fontId="10" fillId="0" borderId="0" xfId="0" applyNumberFormat="1" applyFont="1" applyFill="1" applyAlignment="1">
      <alignment horizontal="left" vertical="center" wrapText="1"/>
    </xf>
    <xf numFmtId="166" fontId="10" fillId="0" borderId="0" xfId="0" applyNumberFormat="1" applyFont="1" applyFill="1" applyAlignment="1">
      <alignment horizontal="center" vertical="center" wrapText="1"/>
    </xf>
    <xf numFmtId="166" fontId="10" fillId="0" borderId="0" xfId="0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166" fontId="10" fillId="0" borderId="0" xfId="0" applyNumberFormat="1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right" vertical="center" wrapText="1"/>
    </xf>
    <xf numFmtId="166" fontId="6" fillId="0" borderId="0" xfId="0" applyNumberFormat="1" applyFont="1" applyFill="1" applyAlignment="1">
      <alignment horizontal="center" vertical="center" wrapText="1"/>
    </xf>
    <xf numFmtId="166" fontId="4" fillId="0" borderId="0" xfId="0" applyNumberFormat="1" applyFont="1" applyFill="1" applyAlignment="1">
      <alignment horizontal="right" vertical="center" wrapText="1"/>
    </xf>
    <xf numFmtId="167" fontId="6" fillId="0" borderId="11" xfId="2" applyNumberFormat="1" applyFont="1" applyFill="1" applyBorder="1" applyAlignment="1">
      <alignment horizontal="center" vertical="center"/>
    </xf>
    <xf numFmtId="0" fontId="16" fillId="0" borderId="0" xfId="0" applyFont="1" applyFill="1"/>
    <xf numFmtId="164" fontId="6" fillId="0" borderId="11" xfId="0" applyNumberFormat="1" applyFont="1" applyFill="1" applyBorder="1" applyAlignment="1" applyProtection="1">
      <alignment horizontal="center" vertical="center" wrapText="1"/>
      <protection locked="0"/>
    </xf>
    <xf numFmtId="167" fontId="6" fillId="5" borderId="11" xfId="2" applyNumberFormat="1" applyFont="1" applyFill="1" applyBorder="1" applyAlignment="1">
      <alignment horizontal="center" vertical="center"/>
    </xf>
    <xf numFmtId="167" fontId="6" fillId="0" borderId="16" xfId="2" applyNumberFormat="1" applyFont="1" applyFill="1" applyBorder="1" applyAlignment="1">
      <alignment horizontal="center" vertical="center"/>
    </xf>
    <xf numFmtId="164" fontId="6" fillId="0" borderId="14" xfId="0" applyNumberFormat="1" applyFont="1" applyFill="1" applyBorder="1" applyAlignment="1">
      <alignment horizontal="center" vertical="center"/>
    </xf>
    <xf numFmtId="167" fontId="6" fillId="0" borderId="15" xfId="2" applyNumberFormat="1" applyFont="1" applyFill="1" applyBorder="1" applyAlignment="1">
      <alignment horizontal="center" vertical="center"/>
    </xf>
    <xf numFmtId="166" fontId="14" fillId="0" borderId="11" xfId="0" applyNumberFormat="1" applyFont="1" applyFill="1" applyBorder="1" applyAlignment="1">
      <alignment horizontal="center" vertical="center" wrapText="1"/>
    </xf>
    <xf numFmtId="166" fontId="14" fillId="9" borderId="11" xfId="0" applyNumberFormat="1" applyFont="1" applyFill="1" applyBorder="1" applyAlignment="1">
      <alignment horizontal="center" vertical="center" wrapText="1"/>
    </xf>
    <xf numFmtId="166" fontId="14" fillId="10" borderId="11" xfId="0" applyNumberFormat="1" applyFont="1" applyFill="1" applyBorder="1" applyAlignment="1">
      <alignment horizontal="center" vertical="center" wrapText="1"/>
    </xf>
    <xf numFmtId="165" fontId="23" fillId="5" borderId="11" xfId="0" applyNumberFormat="1" applyFont="1" applyFill="1" applyBorder="1" applyAlignment="1">
      <alignment horizontal="center" vertical="center" wrapText="1"/>
    </xf>
    <xf numFmtId="165" fontId="6" fillId="11" borderId="11" xfId="0" applyNumberFormat="1" applyFont="1" applyFill="1" applyBorder="1" applyAlignment="1">
      <alignment horizontal="center" vertical="center"/>
    </xf>
    <xf numFmtId="164" fontId="14" fillId="5" borderId="11" xfId="0" applyNumberFormat="1" applyFont="1" applyFill="1" applyBorder="1" applyAlignment="1">
      <alignment horizontal="center" vertical="center"/>
    </xf>
    <xf numFmtId="165" fontId="6" fillId="12" borderId="1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165" fontId="6" fillId="11" borderId="11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Alignment="1">
      <alignment horizontal="right" vertical="center" wrapText="1"/>
    </xf>
    <xf numFmtId="0" fontId="14" fillId="0" borderId="0" xfId="0" applyFont="1" applyFill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18" fillId="0" borderId="0" xfId="0" applyFont="1" applyFill="1" applyAlignment="1">
      <alignment horizontal="right" vertical="center" wrapText="1"/>
    </xf>
    <xf numFmtId="1" fontId="18" fillId="0" borderId="0" xfId="0" applyNumberFormat="1" applyFont="1" applyFill="1" applyAlignment="1">
      <alignment horizontal="right" vertical="center" wrapText="1"/>
    </xf>
    <xf numFmtId="0" fontId="10" fillId="0" borderId="0" xfId="0" applyFont="1" applyFill="1" applyAlignment="1">
      <alignment horizontal="right" vertical="center" wrapText="1"/>
    </xf>
    <xf numFmtId="166" fontId="18" fillId="0" borderId="0" xfId="0" applyNumberFormat="1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  <xf numFmtId="1" fontId="10" fillId="0" borderId="0" xfId="0" applyNumberFormat="1" applyFont="1" applyFill="1" applyAlignment="1">
      <alignment horizontal="right" vertical="center" wrapText="1"/>
    </xf>
    <xf numFmtId="1" fontId="6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Alignment="1">
      <alignment wrapText="1"/>
    </xf>
    <xf numFmtId="164" fontId="15" fillId="4" borderId="11" xfId="0" applyNumberFormat="1" applyFont="1" applyFill="1" applyBorder="1" applyAlignment="1">
      <alignment horizontal="center" vertical="center" wrapText="1"/>
    </xf>
    <xf numFmtId="166" fontId="14" fillId="8" borderId="11" xfId="0" applyNumberFormat="1" applyFont="1" applyFill="1" applyBorder="1" applyAlignment="1">
      <alignment horizontal="center" vertical="center" wrapText="1"/>
    </xf>
    <xf numFmtId="165" fontId="14" fillId="11" borderId="1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 applyAlignment="1">
      <alignment horizontal="center" vertical="center" wrapText="1"/>
    </xf>
    <xf numFmtId="164" fontId="14" fillId="8" borderId="11" xfId="0" applyNumberFormat="1" applyFont="1" applyFill="1" applyBorder="1" applyAlignment="1">
      <alignment horizontal="center" vertical="center"/>
    </xf>
    <xf numFmtId="167" fontId="14" fillId="8" borderId="17" xfId="2" applyNumberFormat="1" applyFont="1" applyFill="1" applyBorder="1" applyAlignment="1">
      <alignment horizontal="center" vertical="center"/>
    </xf>
    <xf numFmtId="166" fontId="6" fillId="0" borderId="0" xfId="0" applyNumberFormat="1" applyFont="1" applyFill="1" applyAlignment="1">
      <alignment horizontal="center" vertical="center" wrapText="1"/>
    </xf>
    <xf numFmtId="49" fontId="6" fillId="8" borderId="11" xfId="0" applyNumberFormat="1" applyFont="1" applyFill="1" applyBorder="1" applyAlignment="1">
      <alignment horizontal="center" vertical="center" wrapText="1"/>
    </xf>
    <xf numFmtId="166" fontId="14" fillId="0" borderId="11" xfId="0" applyNumberFormat="1" applyFont="1" applyFill="1" applyBorder="1" applyAlignment="1">
      <alignment horizontal="center" vertical="center" wrapText="1"/>
    </xf>
    <xf numFmtId="165" fontId="6" fillId="3" borderId="11" xfId="0" applyNumberFormat="1" applyFont="1" applyFill="1" applyBorder="1" applyAlignment="1">
      <alignment horizontal="center" vertical="center" wrapText="1"/>
    </xf>
    <xf numFmtId="166" fontId="14" fillId="3" borderId="11" xfId="0" applyNumberFormat="1" applyFont="1" applyFill="1" applyBorder="1" applyAlignment="1">
      <alignment horizontal="center" vertical="center" wrapText="1"/>
    </xf>
    <xf numFmtId="165" fontId="14" fillId="5" borderId="11" xfId="0" applyNumberFormat="1" applyFont="1" applyFill="1" applyBorder="1" applyAlignment="1">
      <alignment horizontal="center" vertical="center" wrapText="1"/>
    </xf>
    <xf numFmtId="166" fontId="6" fillId="3" borderId="11" xfId="0" applyNumberFormat="1" applyFont="1" applyFill="1" applyBorder="1" applyAlignment="1">
      <alignment horizontal="left" vertical="center" wrapText="1"/>
    </xf>
    <xf numFmtId="166" fontId="14" fillId="0" borderId="11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166" fontId="6" fillId="0" borderId="11" xfId="0" applyNumberFormat="1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164" fontId="6" fillId="5" borderId="11" xfId="0" applyNumberFormat="1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/>
    </xf>
    <xf numFmtId="165" fontId="5" fillId="3" borderId="11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vertical="center" wrapText="1"/>
    </xf>
    <xf numFmtId="0" fontId="1" fillId="3" borderId="11" xfId="0" applyFont="1" applyFill="1" applyBorder="1"/>
    <xf numFmtId="164" fontId="6" fillId="8" borderId="11" xfId="0" applyNumberFormat="1" applyFont="1" applyFill="1" applyBorder="1" applyAlignment="1">
      <alignment horizontal="center" vertical="center" wrapText="1"/>
    </xf>
    <xf numFmtId="164" fontId="6" fillId="3" borderId="11" xfId="0" applyNumberFormat="1" applyFont="1" applyFill="1" applyBorder="1" applyAlignment="1">
      <alignment horizontal="center" vertical="center"/>
    </xf>
    <xf numFmtId="164" fontId="6" fillId="3" borderId="11" xfId="0" applyNumberFormat="1" applyFont="1" applyFill="1" applyBorder="1" applyAlignment="1">
      <alignment horizontal="center" vertical="center" wrapText="1"/>
    </xf>
    <xf numFmtId="164" fontId="14" fillId="3" borderId="11" xfId="0" applyNumberFormat="1" applyFont="1" applyFill="1" applyBorder="1" applyAlignment="1">
      <alignment horizontal="center" vertical="center"/>
    </xf>
    <xf numFmtId="164" fontId="14" fillId="3" borderId="11" xfId="0" applyNumberFormat="1" applyFont="1" applyFill="1" applyBorder="1" applyAlignment="1">
      <alignment horizontal="center" vertical="center" wrapText="1"/>
    </xf>
    <xf numFmtId="165" fontId="14" fillId="3" borderId="11" xfId="1" applyNumberFormat="1" applyFont="1" applyFill="1" applyBorder="1" applyAlignment="1">
      <alignment horizontal="right" vertical="center"/>
    </xf>
    <xf numFmtId="165" fontId="14" fillId="3" borderId="11" xfId="0" applyNumberFormat="1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left" vertical="center" wrapText="1"/>
    </xf>
    <xf numFmtId="166" fontId="6" fillId="3" borderId="11" xfId="0" applyNumberFormat="1" applyFont="1" applyFill="1" applyBorder="1" applyAlignment="1">
      <alignment horizontal="center" vertical="center" wrapText="1"/>
    </xf>
    <xf numFmtId="4" fontId="15" fillId="3" borderId="11" xfId="0" applyNumberFormat="1" applyFont="1" applyFill="1" applyBorder="1" applyAlignment="1">
      <alignment horizontal="right" vertical="center"/>
    </xf>
    <xf numFmtId="4" fontId="15" fillId="3" borderId="11" xfId="0" applyNumberFormat="1" applyFont="1" applyFill="1" applyBorder="1" applyAlignment="1">
      <alignment horizontal="center" vertical="center"/>
    </xf>
    <xf numFmtId="165" fontId="6" fillId="3" borderId="11" xfId="0" applyNumberFormat="1" applyFont="1" applyFill="1" applyBorder="1" applyAlignment="1">
      <alignment horizontal="center" vertical="center"/>
    </xf>
    <xf numFmtId="166" fontId="1" fillId="3" borderId="11" xfId="0" applyNumberFormat="1" applyFont="1" applyFill="1" applyBorder="1" applyAlignment="1">
      <alignment horizontal="left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166" fontId="10" fillId="0" borderId="0" xfId="0" applyNumberFormat="1" applyFont="1" applyFill="1" applyBorder="1" applyAlignment="1">
      <alignment horizontal="right" vertical="center" wrapText="1"/>
    </xf>
    <xf numFmtId="166" fontId="10" fillId="0" borderId="0" xfId="0" applyNumberFormat="1" applyFont="1" applyFill="1" applyAlignment="1">
      <alignment horizontal="right" vertical="center" wrapText="1"/>
    </xf>
    <xf numFmtId="166" fontId="10" fillId="0" borderId="0" xfId="0" applyNumberFormat="1" applyFont="1" applyFill="1" applyAlignment="1">
      <alignment vertical="center" wrapText="1"/>
    </xf>
    <xf numFmtId="166" fontId="14" fillId="0" borderId="11" xfId="0" applyNumberFormat="1" applyFont="1" applyFill="1" applyBorder="1" applyAlignment="1">
      <alignment horizontal="center" vertical="center" wrapText="1"/>
    </xf>
    <xf numFmtId="166" fontId="6" fillId="0" borderId="11" xfId="0" applyNumberFormat="1" applyFont="1" applyFill="1" applyBorder="1" applyAlignment="1">
      <alignment horizontal="center" vertical="center" wrapText="1"/>
    </xf>
    <xf numFmtId="166" fontId="20" fillId="0" borderId="0" xfId="0" applyNumberFormat="1" applyFont="1" applyFill="1" applyAlignment="1">
      <alignment horizontal="center" vertical="center" wrapText="1"/>
    </xf>
    <xf numFmtId="166" fontId="10" fillId="0" borderId="0" xfId="0" applyNumberFormat="1" applyFont="1" applyFill="1" applyAlignment="1">
      <alignment horizontal="left" vertical="center" wrapText="1"/>
    </xf>
    <xf numFmtId="166" fontId="10" fillId="0" borderId="0" xfId="0" applyNumberFormat="1" applyFont="1" applyFill="1" applyAlignment="1">
      <alignment horizontal="center" vertical="center" wrapText="1"/>
    </xf>
    <xf numFmtId="166" fontId="10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20" fillId="0" borderId="0" xfId="0" applyFont="1" applyFill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4" fillId="0" borderId="0" xfId="0" applyFont="1" applyFill="1"/>
    <xf numFmtId="166" fontId="1" fillId="0" borderId="0" xfId="0" applyNumberFormat="1" applyFont="1" applyFill="1" applyAlignment="1">
      <alignment horizontal="right" vertical="center" wrapText="1" indent="1"/>
    </xf>
    <xf numFmtId="0" fontId="1" fillId="0" borderId="0" xfId="0" applyFont="1" applyFill="1" applyAlignment="1">
      <alignment horizontal="right" vertical="center" indent="1"/>
    </xf>
    <xf numFmtId="0" fontId="1" fillId="0" borderId="0" xfId="0" applyFont="1" applyFill="1" applyAlignment="1">
      <alignment horizontal="right" vertical="center" wrapText="1" indent="1"/>
    </xf>
    <xf numFmtId="0" fontId="1" fillId="0" borderId="0" xfId="0" applyFont="1" applyFill="1" applyAlignment="1">
      <alignment horizontal="right" indent="1"/>
    </xf>
    <xf numFmtId="166" fontId="1" fillId="0" borderId="0" xfId="0" applyNumberFormat="1" applyFont="1" applyFill="1" applyBorder="1" applyAlignment="1">
      <alignment horizontal="right" vertical="center" wrapText="1" indent="1"/>
    </xf>
    <xf numFmtId="49" fontId="6" fillId="0" borderId="0" xfId="0" applyNumberFormat="1" applyFont="1" applyFill="1" applyBorder="1" applyAlignment="1">
      <alignment horizontal="right" vertical="center" indent="1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166" fontId="6" fillId="0" borderId="0" xfId="0" applyNumberFormat="1" applyFont="1" applyFill="1" applyAlignment="1">
      <alignment horizontal="center" vertical="center" wrapText="1"/>
    </xf>
    <xf numFmtId="166" fontId="6" fillId="0" borderId="0" xfId="0" applyNumberFormat="1" applyFont="1" applyFill="1" applyAlignment="1">
      <alignment horizontal="right" vertical="center" wrapText="1" indent="1"/>
    </xf>
    <xf numFmtId="0" fontId="6" fillId="0" borderId="0" xfId="0" applyFont="1" applyFill="1" applyAlignment="1">
      <alignment horizontal="right" vertical="center" indent="1"/>
    </xf>
    <xf numFmtId="166" fontId="6" fillId="0" borderId="0" xfId="0" applyNumberFormat="1" applyFont="1" applyFill="1" applyBorder="1" applyAlignment="1">
      <alignment horizontal="right" vertical="center" wrapText="1" inden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5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3" fontId="5" fillId="0" borderId="3" xfId="0" applyNumberFormat="1" applyFont="1" applyFill="1" applyBorder="1" applyAlignment="1">
      <alignment horizontal="center" vertical="center"/>
    </xf>
    <xf numFmtId="3" fontId="5" fillId="0" borderId="5" xfId="0" applyNumberFormat="1" applyFont="1" applyFill="1" applyBorder="1" applyAlignment="1">
      <alignment horizontal="center" vertical="center"/>
    </xf>
    <xf numFmtId="3" fontId="5" fillId="0" borderId="6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/>
    </xf>
    <xf numFmtId="3" fontId="8" fillId="0" borderId="3" xfId="0" applyNumberFormat="1" applyFont="1" applyFill="1" applyBorder="1" applyAlignment="1">
      <alignment horizontal="center" vertical="center"/>
    </xf>
    <xf numFmtId="3" fontId="8" fillId="0" borderId="5" xfId="0" applyNumberFormat="1" applyFont="1" applyFill="1" applyBorder="1" applyAlignment="1">
      <alignment horizontal="center" vertical="center"/>
    </xf>
    <xf numFmtId="3" fontId="8" fillId="0" borderId="6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49" fontId="4" fillId="3" borderId="0" xfId="0" applyNumberFormat="1" applyFont="1" applyFill="1" applyBorder="1" applyAlignment="1"/>
    <xf numFmtId="0" fontId="5" fillId="0" borderId="3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/>
    <xf numFmtId="49" fontId="3" fillId="0" borderId="4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right"/>
    </xf>
    <xf numFmtId="166" fontId="4" fillId="0" borderId="0" xfId="0" applyNumberFormat="1" applyFont="1" applyFill="1" applyAlignment="1">
      <alignment horizontal="right" vertical="center" wrapText="1"/>
    </xf>
    <xf numFmtId="166" fontId="4" fillId="0" borderId="0" xfId="0" applyNumberFormat="1" applyFont="1" applyFill="1" applyBorder="1" applyAlignment="1">
      <alignment horizontal="right" vertical="center" wrapText="1"/>
    </xf>
    <xf numFmtId="166" fontId="5" fillId="0" borderId="0" xfId="0" applyNumberFormat="1" applyFont="1" applyFill="1" applyAlignment="1">
      <alignment horizontal="left" vertical="center" wrapText="1"/>
    </xf>
    <xf numFmtId="166" fontId="5" fillId="0" borderId="0" xfId="0" applyNumberFormat="1" applyFont="1" applyFill="1" applyBorder="1" applyAlignment="1">
      <alignment horizontal="right" vertical="center" wrapText="1" indent="2"/>
    </xf>
    <xf numFmtId="0" fontId="5" fillId="0" borderId="0" xfId="0" applyFont="1" applyFill="1" applyAlignment="1">
      <alignment horizontal="right" vertical="center" indent="2"/>
    </xf>
    <xf numFmtId="0" fontId="2" fillId="0" borderId="11" xfId="0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166" fontId="5" fillId="0" borderId="0" xfId="0" applyNumberFormat="1" applyFont="1" applyFill="1" applyAlignment="1">
      <alignment horizontal="right" vertical="center" wrapText="1" indent="2"/>
    </xf>
  </cellXfs>
  <cellStyles count="4">
    <cellStyle name="Обычный" xfId="0" builtinId="0"/>
    <cellStyle name="Обычный 11" xfId="2"/>
    <cellStyle name="Обычный 2" xfId="1"/>
    <cellStyle name="Обычный 3" xfId="3"/>
  </cellStyles>
  <dxfs count="0"/>
  <tableStyles count="0" defaultTableStyle="TableStyleMedium9" defaultPivotStyle="PivotStyleLight16"/>
  <colors>
    <mruColors>
      <color rgb="FFFFCC00"/>
      <color rgb="FFFFFFCC"/>
      <color rgb="FFFF99CC"/>
      <color rgb="FFFF7C80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T80"/>
  <sheetViews>
    <sheetView tabSelected="1" zoomScale="90" zoomScaleNormal="90" workbookViewId="0">
      <pane ySplit="14" topLeftCell="A15" activePane="bottomLeft" state="frozen"/>
      <selection pane="bottomLeft"/>
    </sheetView>
  </sheetViews>
  <sheetFormatPr defaultColWidth="8.85546875" defaultRowHeight="15" x14ac:dyDescent="0.2"/>
  <cols>
    <col min="1" max="1" width="11.42578125" style="66" customWidth="1"/>
    <col min="2" max="2" width="40.140625" style="16" customWidth="1"/>
    <col min="3" max="3" width="17" style="145" customWidth="1"/>
    <col min="4" max="4" width="13" style="65" customWidth="1"/>
    <col min="5" max="5" width="13.42578125" style="17" customWidth="1"/>
    <col min="6" max="6" width="9.85546875" style="66" customWidth="1"/>
    <col min="7" max="7" width="11.5703125" style="32" customWidth="1"/>
    <col min="8" max="8" width="8.5703125" style="66" customWidth="1"/>
    <col min="9" max="9" width="11.42578125" style="78" customWidth="1"/>
    <col min="10" max="10" width="10.28515625" style="66" customWidth="1"/>
    <col min="11" max="11" width="8.85546875" style="66" customWidth="1"/>
    <col min="12" max="12" width="11.28515625" style="66" customWidth="1"/>
    <col min="13" max="13" width="10.7109375" style="66" customWidth="1"/>
    <col min="14" max="14" width="11.140625" style="66" customWidth="1"/>
    <col min="15" max="15" width="9.7109375" style="66" hidden="1" customWidth="1"/>
    <col min="16" max="16" width="12.140625" style="78" hidden="1" customWidth="1"/>
    <col min="17" max="17" width="12.140625" style="66" hidden="1" customWidth="1"/>
    <col min="18" max="18" width="12.140625" style="66" customWidth="1"/>
    <col min="19" max="19" width="11.28515625" style="66" customWidth="1"/>
    <col min="20" max="20" width="9.7109375" style="66" hidden="1" customWidth="1"/>
    <col min="21" max="21" width="9.85546875" style="78" hidden="1" customWidth="1"/>
    <col min="22" max="22" width="9.85546875" style="66" hidden="1" customWidth="1"/>
    <col min="23" max="23" width="12.140625" style="66" customWidth="1"/>
    <col min="24" max="24" width="16" style="66" customWidth="1"/>
    <col min="25" max="25" width="15.28515625" style="66" customWidth="1"/>
    <col min="26" max="26" width="14.42578125" style="66" customWidth="1"/>
    <col min="27" max="27" width="12.5703125" style="66" customWidth="1"/>
    <col min="28" max="28" width="13.28515625" style="66" customWidth="1"/>
    <col min="29" max="29" width="24.28515625" style="66" customWidth="1"/>
    <col min="30" max="30" width="8.85546875" style="66"/>
    <col min="31" max="227" width="12.140625" style="66" customWidth="1"/>
    <col min="228" max="16384" width="8.85546875" style="66"/>
  </cols>
  <sheetData>
    <row r="1" spans="1:46" x14ac:dyDescent="0.2">
      <c r="AA1" s="41"/>
      <c r="AB1" s="304" t="s">
        <v>180</v>
      </c>
      <c r="AC1" s="304"/>
    </row>
    <row r="2" spans="1:46" x14ac:dyDescent="0.2">
      <c r="Z2" s="305" t="s">
        <v>191</v>
      </c>
      <c r="AA2" s="305"/>
      <c r="AB2" s="305"/>
      <c r="AC2" s="305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T2" s="73"/>
    </row>
    <row r="3" spans="1:46" x14ac:dyDescent="0.2">
      <c r="AC3" s="73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T3" s="73"/>
    </row>
    <row r="4" spans="1:46" ht="14.45" customHeight="1" x14ac:dyDescent="0.2">
      <c r="V4" s="104"/>
      <c r="W4" s="104"/>
      <c r="X4" s="104"/>
      <c r="Y4" s="104"/>
      <c r="Z4" s="104"/>
      <c r="AA4" s="104"/>
      <c r="AB4" s="309" t="s">
        <v>178</v>
      </c>
      <c r="AC4" s="309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T4" s="73"/>
    </row>
    <row r="5" spans="1:46" ht="14.45" customHeight="1" x14ac:dyDescent="0.2">
      <c r="V5" s="308" t="s">
        <v>313</v>
      </c>
      <c r="W5" s="308"/>
      <c r="X5" s="308"/>
      <c r="Y5" s="308"/>
      <c r="Z5" s="308"/>
      <c r="AA5" s="308"/>
      <c r="AB5" s="308"/>
      <c r="AC5" s="308"/>
    </row>
    <row r="6" spans="1:46" s="206" customFormat="1" ht="14.45" customHeight="1" x14ac:dyDescent="0.2">
      <c r="B6" s="16"/>
      <c r="D6" s="77"/>
      <c r="E6" s="17"/>
      <c r="G6" s="32"/>
      <c r="V6" s="308"/>
      <c r="W6" s="308"/>
      <c r="X6" s="308"/>
      <c r="Y6" s="308"/>
      <c r="Z6" s="308"/>
      <c r="AA6" s="308"/>
      <c r="AB6" s="308"/>
      <c r="AC6" s="308"/>
    </row>
    <row r="7" spans="1:46" ht="20.85" customHeight="1" x14ac:dyDescent="0.2">
      <c r="V7" s="104"/>
      <c r="W7" s="104"/>
      <c r="X7" s="98"/>
      <c r="Y7" s="307" t="s">
        <v>311</v>
      </c>
      <c r="Z7" s="307"/>
      <c r="AA7" s="307"/>
      <c r="AB7" s="307"/>
      <c r="AC7" s="307"/>
    </row>
    <row r="8" spans="1:46" ht="18.75" x14ac:dyDescent="0.2">
      <c r="A8" s="65"/>
      <c r="B8" s="19"/>
      <c r="C8" s="77"/>
      <c r="F8" s="65"/>
      <c r="G8" s="17"/>
      <c r="H8" s="65"/>
      <c r="I8" s="77"/>
      <c r="J8" s="65"/>
      <c r="K8" s="65"/>
      <c r="L8" s="65"/>
      <c r="M8" s="65"/>
      <c r="N8" s="65"/>
      <c r="O8" s="65"/>
      <c r="P8" s="77"/>
      <c r="Q8" s="65"/>
      <c r="R8" s="65"/>
      <c r="S8" s="65"/>
      <c r="T8" s="65"/>
      <c r="U8" s="77"/>
      <c r="V8" s="98"/>
      <c r="W8" s="98"/>
      <c r="X8" s="98"/>
      <c r="Y8" s="104"/>
      <c r="Z8" s="104"/>
      <c r="AA8" s="104"/>
      <c r="AB8" s="104"/>
      <c r="AC8" s="104"/>
    </row>
    <row r="9" spans="1:46" ht="18.75" x14ac:dyDescent="0.2">
      <c r="A9" s="65"/>
      <c r="B9" s="19"/>
      <c r="C9" s="77"/>
      <c r="F9" s="65"/>
      <c r="G9" s="17"/>
      <c r="H9" s="65"/>
      <c r="I9" s="77"/>
      <c r="J9" s="65"/>
      <c r="K9" s="65"/>
      <c r="L9" s="65"/>
      <c r="M9" s="65"/>
      <c r="N9" s="65"/>
      <c r="O9" s="65"/>
      <c r="P9" s="77"/>
      <c r="Q9" s="65"/>
      <c r="R9" s="65"/>
      <c r="V9" s="104"/>
      <c r="W9" s="104"/>
      <c r="X9" s="104"/>
      <c r="Y9" s="104"/>
      <c r="Z9" s="104"/>
      <c r="AA9" s="306" t="s">
        <v>321</v>
      </c>
      <c r="AB9" s="306"/>
      <c r="AC9" s="306"/>
    </row>
    <row r="10" spans="1:46" ht="27" x14ac:dyDescent="0.2">
      <c r="A10" s="312" t="s">
        <v>310</v>
      </c>
      <c r="B10" s="312"/>
      <c r="C10" s="312"/>
      <c r="D10" s="312"/>
      <c r="E10" s="312"/>
      <c r="F10" s="312"/>
      <c r="G10" s="312"/>
      <c r="H10" s="312"/>
      <c r="I10" s="312"/>
      <c r="J10" s="312"/>
      <c r="K10" s="312"/>
      <c r="L10" s="312"/>
      <c r="M10" s="312"/>
      <c r="N10" s="312"/>
      <c r="O10" s="312"/>
      <c r="P10" s="312"/>
      <c r="Q10" s="312"/>
      <c r="R10" s="312"/>
      <c r="S10" s="312"/>
      <c r="T10" s="312"/>
      <c r="U10" s="312"/>
      <c r="V10" s="312"/>
      <c r="W10" s="312"/>
      <c r="X10" s="312"/>
      <c r="Y10" s="312"/>
      <c r="AC10" s="74" t="s">
        <v>12</v>
      </c>
    </row>
    <row r="11" spans="1:46" x14ac:dyDescent="0.2">
      <c r="A11" s="65"/>
      <c r="B11" s="19"/>
      <c r="C11" s="77"/>
      <c r="F11" s="65"/>
      <c r="G11" s="17"/>
      <c r="H11" s="65"/>
      <c r="I11" s="77"/>
      <c r="J11" s="65"/>
      <c r="K11" s="65"/>
      <c r="L11" s="65"/>
      <c r="M11" s="65"/>
      <c r="N11" s="65"/>
      <c r="O11" s="65"/>
      <c r="P11" s="77"/>
      <c r="Q11" s="65"/>
      <c r="R11" s="65"/>
      <c r="W11" s="18"/>
      <c r="X11" s="18"/>
    </row>
    <row r="12" spans="1:46" s="154" customFormat="1" ht="36.4" customHeight="1" x14ac:dyDescent="0.2">
      <c r="A12" s="310" t="s">
        <v>0</v>
      </c>
      <c r="B12" s="310" t="s">
        <v>1</v>
      </c>
      <c r="C12" s="310" t="s">
        <v>303</v>
      </c>
      <c r="D12" s="310" t="s">
        <v>302</v>
      </c>
      <c r="E12" s="310"/>
      <c r="F12" s="310"/>
      <c r="G12" s="310"/>
      <c r="H12" s="310"/>
      <c r="I12" s="310"/>
      <c r="J12" s="310"/>
      <c r="K12" s="310"/>
      <c r="L12" s="310"/>
      <c r="M12" s="310"/>
      <c r="N12" s="310" t="s">
        <v>181</v>
      </c>
      <c r="O12" s="310"/>
      <c r="P12" s="310"/>
      <c r="Q12" s="310"/>
      <c r="R12" s="310"/>
      <c r="S12" s="310" t="s">
        <v>277</v>
      </c>
      <c r="T12" s="310"/>
      <c r="U12" s="310"/>
      <c r="V12" s="310"/>
      <c r="W12" s="310"/>
      <c r="X12" s="310" t="s">
        <v>305</v>
      </c>
      <c r="Y12" s="310" t="s">
        <v>301</v>
      </c>
      <c r="Z12" s="310"/>
      <c r="AA12" s="310"/>
      <c r="AB12" s="310"/>
      <c r="AC12" s="311" t="s">
        <v>10</v>
      </c>
    </row>
    <row r="13" spans="1:46" s="154" customFormat="1" ht="35.1" customHeight="1" x14ac:dyDescent="0.2">
      <c r="A13" s="310"/>
      <c r="B13" s="310"/>
      <c r="C13" s="310"/>
      <c r="D13" s="310" t="s">
        <v>2</v>
      </c>
      <c r="E13" s="310"/>
      <c r="F13" s="310" t="s">
        <v>25</v>
      </c>
      <c r="G13" s="310"/>
      <c r="H13" s="310" t="s">
        <v>26</v>
      </c>
      <c r="I13" s="310"/>
      <c r="J13" s="310" t="s">
        <v>27</v>
      </c>
      <c r="K13" s="310"/>
      <c r="L13" s="310" t="s">
        <v>28</v>
      </c>
      <c r="M13" s="310"/>
      <c r="N13" s="310"/>
      <c r="O13" s="310"/>
      <c r="P13" s="310"/>
      <c r="Q13" s="310"/>
      <c r="R13" s="310"/>
      <c r="S13" s="310"/>
      <c r="T13" s="310"/>
      <c r="U13" s="310"/>
      <c r="V13" s="310"/>
      <c r="W13" s="310"/>
      <c r="X13" s="310"/>
      <c r="Y13" s="310" t="s">
        <v>5</v>
      </c>
      <c r="Z13" s="310" t="s">
        <v>6</v>
      </c>
      <c r="AA13" s="310" t="s">
        <v>9</v>
      </c>
      <c r="AB13" s="310"/>
      <c r="AC13" s="311"/>
    </row>
    <row r="14" spans="1:46" s="154" customFormat="1" ht="34.700000000000003" customHeight="1" x14ac:dyDescent="0.2">
      <c r="A14" s="310"/>
      <c r="B14" s="310"/>
      <c r="C14" s="310"/>
      <c r="D14" s="159" t="s">
        <v>304</v>
      </c>
      <c r="E14" s="55" t="s">
        <v>4</v>
      </c>
      <c r="F14" s="159" t="s">
        <v>3</v>
      </c>
      <c r="G14" s="55" t="s">
        <v>4</v>
      </c>
      <c r="H14" s="159" t="s">
        <v>3</v>
      </c>
      <c r="I14" s="159" t="s">
        <v>4</v>
      </c>
      <c r="J14" s="159" t="s">
        <v>3</v>
      </c>
      <c r="K14" s="159" t="s">
        <v>4</v>
      </c>
      <c r="L14" s="159" t="s">
        <v>3</v>
      </c>
      <c r="M14" s="159" t="s">
        <v>4</v>
      </c>
      <c r="N14" s="159" t="s">
        <v>174</v>
      </c>
      <c r="O14" s="247" t="s">
        <v>176</v>
      </c>
      <c r="P14" s="248" t="s">
        <v>175</v>
      </c>
      <c r="Q14" s="159" t="s">
        <v>290</v>
      </c>
      <c r="R14" s="278" t="s">
        <v>179</v>
      </c>
      <c r="S14" s="159" t="s">
        <v>2</v>
      </c>
      <c r="T14" s="269" t="s">
        <v>176</v>
      </c>
      <c r="U14" s="269" t="s">
        <v>175</v>
      </c>
      <c r="V14" s="246" t="s">
        <v>290</v>
      </c>
      <c r="W14" s="278" t="s">
        <v>179</v>
      </c>
      <c r="X14" s="310"/>
      <c r="Y14" s="310"/>
      <c r="Z14" s="310"/>
      <c r="AA14" s="160" t="s">
        <v>7</v>
      </c>
      <c r="AB14" s="160" t="s">
        <v>8</v>
      </c>
      <c r="AC14" s="311"/>
    </row>
    <row r="15" spans="1:46" s="38" customFormat="1" x14ac:dyDescent="0.2">
      <c r="A15" s="37"/>
      <c r="B15" s="36">
        <v>0</v>
      </c>
      <c r="C15" s="37" t="s">
        <v>16</v>
      </c>
      <c r="D15" s="37">
        <v>2</v>
      </c>
      <c r="E15" s="37">
        <v>3</v>
      </c>
      <c r="F15" s="37">
        <v>4</v>
      </c>
      <c r="G15" s="37">
        <v>5</v>
      </c>
      <c r="H15" s="37">
        <v>6</v>
      </c>
      <c r="I15" s="37">
        <v>7</v>
      </c>
      <c r="J15" s="37">
        <v>8</v>
      </c>
      <c r="K15" s="37">
        <v>9</v>
      </c>
      <c r="L15" s="37">
        <v>10</v>
      </c>
      <c r="M15" s="37">
        <v>11</v>
      </c>
      <c r="N15" s="37">
        <v>12</v>
      </c>
      <c r="O15" s="37">
        <v>13</v>
      </c>
      <c r="P15" s="37" t="s">
        <v>249</v>
      </c>
      <c r="Q15" s="37">
        <v>15</v>
      </c>
      <c r="R15" s="37" t="s">
        <v>293</v>
      </c>
      <c r="S15" s="37" t="s">
        <v>249</v>
      </c>
      <c r="T15" s="37" t="s">
        <v>182</v>
      </c>
      <c r="U15" s="37" t="s">
        <v>183</v>
      </c>
      <c r="V15" s="37" t="s">
        <v>184</v>
      </c>
      <c r="W15" s="37" t="s">
        <v>294</v>
      </c>
      <c r="X15" s="37" t="s">
        <v>295</v>
      </c>
      <c r="Y15" s="37" t="s">
        <v>296</v>
      </c>
      <c r="Z15" s="37" t="s">
        <v>297</v>
      </c>
      <c r="AA15" s="37" t="s">
        <v>298</v>
      </c>
      <c r="AB15" s="37" t="s">
        <v>299</v>
      </c>
      <c r="AC15" s="22" t="s">
        <v>300</v>
      </c>
    </row>
    <row r="16" spans="1:46" ht="33.4" customHeight="1" x14ac:dyDescent="0.2">
      <c r="A16" s="276"/>
      <c r="B16" s="20" t="s">
        <v>13</v>
      </c>
      <c r="C16" s="33">
        <f t="shared" ref="C16:AC16" si="0">C17+C42</f>
        <v>4673.0330000000013</v>
      </c>
      <c r="D16" s="33">
        <f t="shared" si="0"/>
        <v>1992.4830000000002</v>
      </c>
      <c r="E16" s="33">
        <f t="shared" si="0"/>
        <v>221.07827854754282</v>
      </c>
      <c r="F16" s="33">
        <f t="shared" si="0"/>
        <v>118.75700000000001</v>
      </c>
      <c r="G16" s="33">
        <f t="shared" si="0"/>
        <v>11.288693586542857</v>
      </c>
      <c r="H16" s="33">
        <f t="shared" si="0"/>
        <v>542.08600000000001</v>
      </c>
      <c r="I16" s="33">
        <f t="shared" si="0"/>
        <v>9.5269999999999992</v>
      </c>
      <c r="J16" s="33">
        <f t="shared" si="0"/>
        <v>842.81799999999987</v>
      </c>
      <c r="K16" s="279">
        <f t="shared" si="0"/>
        <v>10.550140960999999</v>
      </c>
      <c r="L16" s="33">
        <f t="shared" si="0"/>
        <v>488.82200000000006</v>
      </c>
      <c r="M16" s="33">
        <f t="shared" si="0"/>
        <v>189.712444</v>
      </c>
      <c r="N16" s="33">
        <f t="shared" si="0"/>
        <v>155.28017723214288</v>
      </c>
      <c r="O16" s="33" t="e">
        <f t="shared" si="0"/>
        <v>#REF!</v>
      </c>
      <c r="P16" s="33" t="e">
        <f t="shared" si="0"/>
        <v>#REF!</v>
      </c>
      <c r="Q16" s="33" t="e">
        <f t="shared" si="0"/>
        <v>#REF!</v>
      </c>
      <c r="R16" s="33">
        <f t="shared" si="0"/>
        <v>120.47819600000003</v>
      </c>
      <c r="S16" s="33">
        <f t="shared" si="0"/>
        <v>22.635999999999999</v>
      </c>
      <c r="T16" s="33" t="e">
        <f t="shared" si="0"/>
        <v>#REF!</v>
      </c>
      <c r="U16" s="33" t="e">
        <f t="shared" si="0"/>
        <v>#REF!</v>
      </c>
      <c r="V16" s="33" t="e">
        <f t="shared" si="0"/>
        <v>#REF!</v>
      </c>
      <c r="W16" s="33">
        <f t="shared" si="0"/>
        <v>1.7710000000000001</v>
      </c>
      <c r="X16" s="33">
        <f t="shared" si="0"/>
        <v>4451.9547214524555</v>
      </c>
      <c r="Y16" s="33">
        <f t="shared" ref="Y16:Y26" si="1">E16-D16</f>
        <v>-1771.4047214524574</v>
      </c>
      <c r="Z16" s="33">
        <f>IF(D16=0," ",Y16/D16*100)</f>
        <v>-88.904383196868281</v>
      </c>
      <c r="AA16" s="33">
        <f t="shared" si="0"/>
        <v>0</v>
      </c>
      <c r="AB16" s="33">
        <f t="shared" si="0"/>
        <v>0</v>
      </c>
      <c r="AC16" s="33">
        <f t="shared" si="0"/>
        <v>0</v>
      </c>
    </row>
    <row r="17" spans="1:29" ht="28.5" x14ac:dyDescent="0.2">
      <c r="A17" s="276" t="s">
        <v>16</v>
      </c>
      <c r="B17" s="20" t="s">
        <v>14</v>
      </c>
      <c r="C17" s="33">
        <f t="shared" ref="C17:AC17" si="2">C18+C25+C27+C28+C29</f>
        <v>19.873000000000001</v>
      </c>
      <c r="D17" s="33">
        <f t="shared" si="2"/>
        <v>18.422000000000001</v>
      </c>
      <c r="E17" s="33">
        <f t="shared" si="2"/>
        <v>18.230469473142861</v>
      </c>
      <c r="F17" s="33">
        <f t="shared" si="2"/>
        <v>0</v>
      </c>
      <c r="G17" s="33">
        <f t="shared" si="2"/>
        <v>0.18228741214285712</v>
      </c>
      <c r="H17" s="33">
        <f t="shared" si="2"/>
        <v>0.32</v>
      </c>
      <c r="I17" s="33">
        <f t="shared" si="2"/>
        <v>5.5000000000000007E-2</v>
      </c>
      <c r="J17" s="33">
        <f t="shared" si="2"/>
        <v>16.940999999999999</v>
      </c>
      <c r="K17" s="33">
        <f t="shared" si="2"/>
        <v>2.1669830609999998</v>
      </c>
      <c r="L17" s="33">
        <f t="shared" si="2"/>
        <v>1.161</v>
      </c>
      <c r="M17" s="33">
        <f t="shared" si="2"/>
        <v>15.826199000000001</v>
      </c>
      <c r="N17" s="33">
        <f t="shared" si="2"/>
        <v>21.534294002142857</v>
      </c>
      <c r="O17" s="33">
        <f t="shared" si="2"/>
        <v>1.6033792142857141E-2</v>
      </c>
      <c r="P17" s="33">
        <f t="shared" si="2"/>
        <v>4.506120999999999E-2</v>
      </c>
      <c r="Q17" s="33">
        <f t="shared" si="2"/>
        <v>19.977</v>
      </c>
      <c r="R17" s="33">
        <f t="shared" si="2"/>
        <v>1.4961989999999998</v>
      </c>
      <c r="S17" s="33">
        <f t="shared" si="2"/>
        <v>22.099</v>
      </c>
      <c r="T17" s="33">
        <f t="shared" si="2"/>
        <v>1.4E-2</v>
      </c>
      <c r="U17" s="33">
        <f t="shared" si="2"/>
        <v>4.3999999999999997E-2</v>
      </c>
      <c r="V17" s="33">
        <f t="shared" si="2"/>
        <v>20.681999999999999</v>
      </c>
      <c r="W17" s="33">
        <f t="shared" si="2"/>
        <v>1.3590000000000002</v>
      </c>
      <c r="X17" s="33">
        <f t="shared" si="2"/>
        <v>1.642530526857142</v>
      </c>
      <c r="Y17" s="33">
        <f t="shared" si="1"/>
        <v>-0.19153052685713945</v>
      </c>
      <c r="Z17" s="33">
        <f t="shared" ref="Z17:Z25" si="3">IF(D17=0," ",Y17/D17*100)</f>
        <v>-1.0396836763496877</v>
      </c>
      <c r="AA17" s="33">
        <f t="shared" si="2"/>
        <v>0</v>
      </c>
      <c r="AB17" s="33">
        <f t="shared" si="2"/>
        <v>0</v>
      </c>
      <c r="AC17" s="33">
        <f t="shared" si="2"/>
        <v>0</v>
      </c>
    </row>
    <row r="18" spans="1:29" ht="28.5" x14ac:dyDescent="0.2">
      <c r="A18" s="276" t="s">
        <v>29</v>
      </c>
      <c r="B18" s="20" t="s">
        <v>15</v>
      </c>
      <c r="C18" s="33">
        <f t="shared" ref="C18:H18" si="4">SUM(C19:C24)</f>
        <v>1.1879999999999999</v>
      </c>
      <c r="D18" s="33">
        <f t="shared" si="4"/>
        <v>0.3</v>
      </c>
      <c r="E18" s="33">
        <f t="shared" si="4"/>
        <v>1.8567744309999998</v>
      </c>
      <c r="F18" s="33">
        <f t="shared" si="4"/>
        <v>0</v>
      </c>
      <c r="G18" s="33">
        <f t="shared" si="4"/>
        <v>0</v>
      </c>
      <c r="H18" s="33">
        <f t="shared" si="4"/>
        <v>0</v>
      </c>
      <c r="I18" s="33">
        <f>SUM(I19:I23)</f>
        <v>0</v>
      </c>
      <c r="J18" s="33">
        <f t="shared" ref="J18:AC18" si="5">SUM(J19:J24)</f>
        <v>0.3</v>
      </c>
      <c r="K18" s="33">
        <f t="shared" si="5"/>
        <v>0.37877443099999997</v>
      </c>
      <c r="L18" s="33">
        <f t="shared" si="5"/>
        <v>0</v>
      </c>
      <c r="M18" s="33">
        <f t="shared" si="5"/>
        <v>1.478</v>
      </c>
      <c r="N18" s="33">
        <f t="shared" si="5"/>
        <v>1.6450000000000002</v>
      </c>
      <c r="O18" s="33">
        <f t="shared" si="5"/>
        <v>0</v>
      </c>
      <c r="P18" s="33">
        <f t="shared" si="5"/>
        <v>0</v>
      </c>
      <c r="Q18" s="33">
        <f t="shared" si="5"/>
        <v>0.33999999999999997</v>
      </c>
      <c r="R18" s="33">
        <f t="shared" si="5"/>
        <v>1.3049999999999999</v>
      </c>
      <c r="S18" s="33">
        <f t="shared" si="5"/>
        <v>1.6990000000000001</v>
      </c>
      <c r="T18" s="33">
        <f t="shared" si="5"/>
        <v>0</v>
      </c>
      <c r="U18" s="33">
        <f t="shared" si="5"/>
        <v>0</v>
      </c>
      <c r="V18" s="33">
        <f t="shared" si="5"/>
        <v>0.33999999999999997</v>
      </c>
      <c r="W18" s="33">
        <f t="shared" si="5"/>
        <v>1.3590000000000002</v>
      </c>
      <c r="X18" s="33">
        <f t="shared" si="5"/>
        <v>-0.66877443099999989</v>
      </c>
      <c r="Y18" s="33">
        <f t="shared" si="1"/>
        <v>1.5567744309999998</v>
      </c>
      <c r="Z18" s="33">
        <f t="shared" si="3"/>
        <v>518.92481033333331</v>
      </c>
      <c r="AA18" s="33">
        <f t="shared" si="5"/>
        <v>0</v>
      </c>
      <c r="AB18" s="33">
        <f t="shared" si="5"/>
        <v>0</v>
      </c>
      <c r="AC18" s="33">
        <f t="shared" si="5"/>
        <v>0</v>
      </c>
    </row>
    <row r="19" spans="1:29" ht="45" x14ac:dyDescent="0.2">
      <c r="A19" s="275" t="s">
        <v>205</v>
      </c>
      <c r="B19" s="280" t="s">
        <v>190</v>
      </c>
      <c r="C19" s="277">
        <v>0.3</v>
      </c>
      <c r="D19" s="277">
        <f t="shared" ref="D19:D26" si="6">F19+H19+J19+L19</f>
        <v>0.3</v>
      </c>
      <c r="E19" s="277">
        <f t="shared" ref="E19:E24" si="7">G19+I19+K19+M19</f>
        <v>0.96899999999999997</v>
      </c>
      <c r="F19" s="277"/>
      <c r="G19" s="277"/>
      <c r="H19" s="277"/>
      <c r="I19" s="277"/>
      <c r="J19" s="277">
        <v>0.3</v>
      </c>
      <c r="K19" s="277">
        <v>0</v>
      </c>
      <c r="L19" s="277">
        <v>0</v>
      </c>
      <c r="M19" s="277">
        <v>0.96899999999999997</v>
      </c>
      <c r="N19" s="277">
        <f t="shared" ref="N19:N34" si="8">O19+P19+Q19+R19</f>
        <v>0.85899999999999999</v>
      </c>
      <c r="O19" s="277">
        <v>0</v>
      </c>
      <c r="P19" s="277">
        <v>0</v>
      </c>
      <c r="Q19" s="277">
        <v>0</v>
      </c>
      <c r="R19" s="277">
        <v>0.85899999999999999</v>
      </c>
      <c r="S19" s="277">
        <f t="shared" ref="S19:S34" si="9">T19+U19+V19+W19</f>
        <v>0.91300000000000003</v>
      </c>
      <c r="T19" s="277">
        <v>0</v>
      </c>
      <c r="U19" s="277">
        <v>0</v>
      </c>
      <c r="V19" s="277">
        <v>0</v>
      </c>
      <c r="W19" s="277">
        <v>0.91300000000000003</v>
      </c>
      <c r="X19" s="26">
        <f t="shared" ref="X19:X24" si="10">C19-E19</f>
        <v>-0.66900000000000004</v>
      </c>
      <c r="Y19" s="26">
        <f t="shared" si="1"/>
        <v>0.66900000000000004</v>
      </c>
      <c r="Z19" s="26">
        <f t="shared" si="3"/>
        <v>223.00000000000006</v>
      </c>
      <c r="AA19" s="26"/>
      <c r="AB19" s="26"/>
      <c r="AC19" s="26"/>
    </row>
    <row r="20" spans="1:29" ht="75" x14ac:dyDescent="0.2">
      <c r="A20" s="22" t="s">
        <v>206</v>
      </c>
      <c r="B20" s="14" t="s">
        <v>202</v>
      </c>
      <c r="C20" s="26">
        <v>0.13600000000000001</v>
      </c>
      <c r="D20" s="26">
        <v>0</v>
      </c>
      <c r="E20" s="26">
        <f t="shared" si="7"/>
        <v>0.13617955599999998</v>
      </c>
      <c r="F20" s="26"/>
      <c r="G20" s="26"/>
      <c r="H20" s="26"/>
      <c r="I20" s="26"/>
      <c r="J20" s="26"/>
      <c r="K20" s="26">
        <v>0.13617955599999998</v>
      </c>
      <c r="L20" s="26"/>
      <c r="M20" s="26"/>
      <c r="N20" s="26">
        <f t="shared" si="8"/>
        <v>0.123</v>
      </c>
      <c r="O20" s="26">
        <v>0</v>
      </c>
      <c r="P20" s="26"/>
      <c r="Q20" s="26">
        <v>0.123</v>
      </c>
      <c r="R20" s="26"/>
      <c r="S20" s="26">
        <f t="shared" si="9"/>
        <v>0.123</v>
      </c>
      <c r="T20" s="26"/>
      <c r="U20" s="26"/>
      <c r="V20" s="26">
        <v>0.123</v>
      </c>
      <c r="W20" s="26"/>
      <c r="X20" s="26">
        <f t="shared" si="10"/>
        <v>-1.7955599999996963E-4</v>
      </c>
      <c r="Y20" s="26">
        <f t="shared" si="1"/>
        <v>0.13617955599999998</v>
      </c>
      <c r="Z20" s="26" t="str">
        <f t="shared" si="3"/>
        <v xml:space="preserve"> </v>
      </c>
      <c r="AA20" s="26"/>
      <c r="AB20" s="26"/>
      <c r="AC20" s="26"/>
    </row>
    <row r="21" spans="1:29" ht="75" x14ac:dyDescent="0.2">
      <c r="A21" s="22" t="s">
        <v>207</v>
      </c>
      <c r="B21" s="14" t="s">
        <v>203</v>
      </c>
      <c r="C21" s="26">
        <v>0.13100000000000001</v>
      </c>
      <c r="D21" s="26">
        <f t="shared" si="6"/>
        <v>0</v>
      </c>
      <c r="E21" s="26">
        <f t="shared" si="7"/>
        <v>0.13074735119999997</v>
      </c>
      <c r="F21" s="26"/>
      <c r="G21" s="26"/>
      <c r="H21" s="26"/>
      <c r="I21" s="26"/>
      <c r="J21" s="26"/>
      <c r="K21" s="26">
        <v>0.13074735119999997</v>
      </c>
      <c r="L21" s="26"/>
      <c r="M21" s="26"/>
      <c r="N21" s="26">
        <f t="shared" si="8"/>
        <v>0.11799999999999999</v>
      </c>
      <c r="O21" s="26">
        <v>0</v>
      </c>
      <c r="P21" s="26"/>
      <c r="Q21" s="26">
        <v>0.11799999999999999</v>
      </c>
      <c r="R21" s="26"/>
      <c r="S21" s="26">
        <f t="shared" si="9"/>
        <v>0.11799999999999999</v>
      </c>
      <c r="T21" s="26"/>
      <c r="U21" s="26"/>
      <c r="V21" s="26">
        <v>0.11799999999999999</v>
      </c>
      <c r="W21" s="26"/>
      <c r="X21" s="26">
        <f t="shared" si="10"/>
        <v>2.5264880000003265E-4</v>
      </c>
      <c r="Y21" s="26">
        <f t="shared" si="1"/>
        <v>0.13074735119999997</v>
      </c>
      <c r="Z21" s="26" t="str">
        <f t="shared" si="3"/>
        <v xml:space="preserve"> </v>
      </c>
      <c r="AA21" s="26"/>
      <c r="AB21" s="26"/>
      <c r="AC21" s="26"/>
    </row>
    <row r="22" spans="1:29" ht="60" x14ac:dyDescent="0.2">
      <c r="A22" s="22" t="s">
        <v>208</v>
      </c>
      <c r="B22" s="14" t="s">
        <v>204</v>
      </c>
      <c r="C22" s="26">
        <v>0.112</v>
      </c>
      <c r="D22" s="26">
        <f t="shared" si="6"/>
        <v>0</v>
      </c>
      <c r="E22" s="26">
        <f t="shared" si="7"/>
        <v>0.1118475238</v>
      </c>
      <c r="F22" s="26"/>
      <c r="G22" s="26"/>
      <c r="H22" s="26"/>
      <c r="I22" s="26"/>
      <c r="J22" s="26"/>
      <c r="K22" s="26">
        <v>0.1118475238</v>
      </c>
      <c r="L22" s="26"/>
      <c r="M22" s="26"/>
      <c r="N22" s="26">
        <f t="shared" si="8"/>
        <v>9.9000000000000005E-2</v>
      </c>
      <c r="O22" s="26">
        <v>0</v>
      </c>
      <c r="P22" s="26"/>
      <c r="Q22" s="26">
        <v>9.9000000000000005E-2</v>
      </c>
      <c r="R22" s="26"/>
      <c r="S22" s="26">
        <f t="shared" si="9"/>
        <v>9.9000000000000005E-2</v>
      </c>
      <c r="T22" s="26"/>
      <c r="U22" s="26"/>
      <c r="V22" s="26">
        <v>9.9000000000000005E-2</v>
      </c>
      <c r="W22" s="26"/>
      <c r="X22" s="26">
        <f t="shared" si="10"/>
        <v>1.5247620000000128E-4</v>
      </c>
      <c r="Y22" s="26">
        <f t="shared" si="1"/>
        <v>0.1118475238</v>
      </c>
      <c r="Z22" s="26" t="str">
        <f t="shared" si="3"/>
        <v xml:space="preserve"> </v>
      </c>
      <c r="AA22" s="26"/>
      <c r="AB22" s="26"/>
      <c r="AC22" s="26"/>
    </row>
    <row r="23" spans="1:29" ht="51.95" customHeight="1" x14ac:dyDescent="0.2">
      <c r="A23" s="275" t="s">
        <v>209</v>
      </c>
      <c r="B23" s="21" t="s">
        <v>199</v>
      </c>
      <c r="C23" s="277">
        <v>0.29899999999999999</v>
      </c>
      <c r="D23" s="277">
        <f t="shared" si="6"/>
        <v>0</v>
      </c>
      <c r="E23" s="277">
        <f t="shared" si="7"/>
        <v>0.29899999999999999</v>
      </c>
      <c r="F23" s="277"/>
      <c r="G23" s="277"/>
      <c r="H23" s="277"/>
      <c r="I23" s="277"/>
      <c r="J23" s="277"/>
      <c r="K23" s="277"/>
      <c r="L23" s="277"/>
      <c r="M23" s="277">
        <v>0.29899999999999999</v>
      </c>
      <c r="N23" s="277">
        <f t="shared" si="8"/>
        <v>0.26700000000000002</v>
      </c>
      <c r="O23" s="277">
        <v>0</v>
      </c>
      <c r="P23" s="277"/>
      <c r="Q23" s="277"/>
      <c r="R23" s="277">
        <v>0.26700000000000002</v>
      </c>
      <c r="S23" s="277">
        <f t="shared" si="9"/>
        <v>0.26700000000000002</v>
      </c>
      <c r="T23" s="277"/>
      <c r="U23" s="277"/>
      <c r="V23" s="277"/>
      <c r="W23" s="277">
        <v>0.26700000000000002</v>
      </c>
      <c r="X23" s="26">
        <f t="shared" si="10"/>
        <v>0</v>
      </c>
      <c r="Y23" s="26">
        <f t="shared" si="1"/>
        <v>0.29899999999999999</v>
      </c>
      <c r="Z23" s="26" t="str">
        <f t="shared" si="3"/>
        <v xml:space="preserve"> </v>
      </c>
      <c r="AA23" s="26"/>
      <c r="AB23" s="26"/>
      <c r="AC23" s="26"/>
    </row>
    <row r="24" spans="1:29" s="274" customFormat="1" ht="30" x14ac:dyDescent="0.2">
      <c r="A24" s="275" t="s">
        <v>210</v>
      </c>
      <c r="B24" s="14" t="s">
        <v>291</v>
      </c>
      <c r="C24" s="277">
        <v>0.21</v>
      </c>
      <c r="D24" s="277">
        <v>0</v>
      </c>
      <c r="E24" s="277">
        <f t="shared" si="7"/>
        <v>0.21</v>
      </c>
      <c r="F24" s="277"/>
      <c r="G24" s="277"/>
      <c r="H24" s="277"/>
      <c r="I24" s="277"/>
      <c r="J24" s="277"/>
      <c r="K24" s="277"/>
      <c r="L24" s="277"/>
      <c r="M24" s="277">
        <v>0.21</v>
      </c>
      <c r="N24" s="277">
        <f>O24+P24+Q24+R24</f>
        <v>0.17899999999999999</v>
      </c>
      <c r="O24" s="277"/>
      <c r="P24" s="277"/>
      <c r="Q24" s="277"/>
      <c r="R24" s="277">
        <v>0.17899999999999999</v>
      </c>
      <c r="S24" s="277">
        <f>T24+U24+V24+W24</f>
        <v>0.17899999999999999</v>
      </c>
      <c r="T24" s="277"/>
      <c r="U24" s="277"/>
      <c r="V24" s="277"/>
      <c r="W24" s="277">
        <v>0.17899999999999999</v>
      </c>
      <c r="X24" s="26">
        <f t="shared" si="10"/>
        <v>0</v>
      </c>
      <c r="Y24" s="26">
        <f t="shared" si="1"/>
        <v>0.21</v>
      </c>
      <c r="Z24" s="26" t="str">
        <f t="shared" si="3"/>
        <v xml:space="preserve"> </v>
      </c>
      <c r="AA24" s="26"/>
      <c r="AB24" s="26"/>
      <c r="AC24" s="26"/>
    </row>
    <row r="25" spans="1:29" ht="28.5" x14ac:dyDescent="0.2">
      <c r="A25" s="276" t="s">
        <v>30</v>
      </c>
      <c r="B25" s="20" t="s">
        <v>18</v>
      </c>
      <c r="C25" s="33">
        <f t="shared" ref="C25:AC25" si="11">SUM(C26:C26)</f>
        <v>14.036</v>
      </c>
      <c r="D25" s="33">
        <f t="shared" si="11"/>
        <v>14.036</v>
      </c>
      <c r="E25" s="33">
        <f t="shared" si="11"/>
        <v>14.175000000000001</v>
      </c>
      <c r="F25" s="33">
        <f t="shared" si="11"/>
        <v>0</v>
      </c>
      <c r="G25" s="33">
        <f t="shared" si="11"/>
        <v>0</v>
      </c>
      <c r="H25" s="33">
        <f t="shared" si="11"/>
        <v>0</v>
      </c>
      <c r="I25" s="33">
        <f t="shared" si="11"/>
        <v>0</v>
      </c>
      <c r="J25" s="33">
        <f t="shared" si="11"/>
        <v>14.036</v>
      </c>
      <c r="K25" s="33">
        <f t="shared" si="11"/>
        <v>0</v>
      </c>
      <c r="L25" s="33">
        <f t="shared" si="11"/>
        <v>0</v>
      </c>
      <c r="M25" s="33">
        <f t="shared" si="11"/>
        <v>14.175000000000001</v>
      </c>
      <c r="N25" s="33">
        <f t="shared" si="11"/>
        <v>17.164999999999999</v>
      </c>
      <c r="O25" s="33">
        <f t="shared" si="11"/>
        <v>0</v>
      </c>
      <c r="P25" s="33">
        <f t="shared" si="11"/>
        <v>0</v>
      </c>
      <c r="Q25" s="33">
        <f t="shared" si="11"/>
        <v>17.164999999999999</v>
      </c>
      <c r="R25" s="33">
        <f t="shared" si="11"/>
        <v>0</v>
      </c>
      <c r="S25" s="33">
        <f t="shared" si="11"/>
        <v>17.478999999999999</v>
      </c>
      <c r="T25" s="33">
        <f t="shared" si="11"/>
        <v>0</v>
      </c>
      <c r="U25" s="33">
        <f t="shared" si="11"/>
        <v>0</v>
      </c>
      <c r="V25" s="33">
        <f t="shared" si="11"/>
        <v>17.478999999999999</v>
      </c>
      <c r="W25" s="33">
        <f t="shared" si="11"/>
        <v>0</v>
      </c>
      <c r="X25" s="33">
        <f t="shared" si="11"/>
        <v>-0.13900000000000112</v>
      </c>
      <c r="Y25" s="33">
        <f t="shared" si="1"/>
        <v>0.13900000000000112</v>
      </c>
      <c r="Z25" s="33">
        <f t="shared" si="3"/>
        <v>0.99031062980907048</v>
      </c>
      <c r="AA25" s="33">
        <f t="shared" si="11"/>
        <v>0</v>
      </c>
      <c r="AB25" s="33">
        <f t="shared" si="11"/>
        <v>0</v>
      </c>
      <c r="AC25" s="33">
        <f t="shared" si="11"/>
        <v>0</v>
      </c>
    </row>
    <row r="26" spans="1:29" ht="60" x14ac:dyDescent="0.2">
      <c r="A26" s="22" t="s">
        <v>211</v>
      </c>
      <c r="B26" s="280" t="s">
        <v>150</v>
      </c>
      <c r="C26" s="26">
        <v>14.036</v>
      </c>
      <c r="D26" s="26">
        <f t="shared" si="6"/>
        <v>14.036</v>
      </c>
      <c r="E26" s="26">
        <f>G26+I26+K26+M26</f>
        <v>14.175000000000001</v>
      </c>
      <c r="F26" s="26"/>
      <c r="G26" s="26"/>
      <c r="H26" s="26"/>
      <c r="I26" s="26"/>
      <c r="J26" s="26">
        <v>14.036</v>
      </c>
      <c r="K26" s="26">
        <v>0</v>
      </c>
      <c r="L26" s="26">
        <v>0</v>
      </c>
      <c r="M26" s="26">
        <v>14.175000000000001</v>
      </c>
      <c r="N26" s="26">
        <f t="shared" si="8"/>
        <v>17.164999999999999</v>
      </c>
      <c r="O26" s="26">
        <v>0</v>
      </c>
      <c r="P26" s="26"/>
      <c r="Q26" s="26">
        <v>17.164999999999999</v>
      </c>
      <c r="R26" s="26"/>
      <c r="S26" s="26">
        <f t="shared" si="9"/>
        <v>17.478999999999999</v>
      </c>
      <c r="T26" s="26"/>
      <c r="U26" s="26"/>
      <c r="V26" s="26">
        <v>17.478999999999999</v>
      </c>
      <c r="W26" s="26"/>
      <c r="X26" s="26">
        <f>C26-E26</f>
        <v>-0.13900000000000112</v>
      </c>
      <c r="Y26" s="26">
        <f t="shared" si="1"/>
        <v>0.13900000000000112</v>
      </c>
      <c r="Z26" s="26">
        <f>IF(D26=0," ",Y26/D26*100)</f>
        <v>0.99031062980907048</v>
      </c>
      <c r="AA26" s="26"/>
      <c r="AB26" s="26"/>
      <c r="AC26" s="26"/>
    </row>
    <row r="27" spans="1:29" ht="28.5" x14ac:dyDescent="0.2">
      <c r="A27" s="276" t="s">
        <v>31</v>
      </c>
      <c r="B27" s="20" t="s">
        <v>19</v>
      </c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</row>
    <row r="28" spans="1:29" ht="42.75" x14ac:dyDescent="0.2">
      <c r="A28" s="276" t="s">
        <v>32</v>
      </c>
      <c r="B28" s="20" t="s">
        <v>20</v>
      </c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</row>
    <row r="29" spans="1:29" x14ac:dyDescent="0.2">
      <c r="A29" s="276" t="s">
        <v>152</v>
      </c>
      <c r="B29" s="20" t="s">
        <v>151</v>
      </c>
      <c r="C29" s="33">
        <f t="shared" ref="C29:AC29" si="12">SUM(C30:C41)</f>
        <v>4.649</v>
      </c>
      <c r="D29" s="33">
        <f t="shared" si="12"/>
        <v>4.0859999999999994</v>
      </c>
      <c r="E29" s="33">
        <f t="shared" si="12"/>
        <v>2.1986950421428575</v>
      </c>
      <c r="F29" s="33">
        <f t="shared" si="12"/>
        <v>0</v>
      </c>
      <c r="G29" s="33">
        <f t="shared" si="12"/>
        <v>0.18228741214285712</v>
      </c>
      <c r="H29" s="33">
        <f t="shared" si="12"/>
        <v>0.32</v>
      </c>
      <c r="I29" s="33">
        <f t="shared" si="12"/>
        <v>5.5000000000000007E-2</v>
      </c>
      <c r="J29" s="33">
        <f t="shared" si="12"/>
        <v>2.605</v>
      </c>
      <c r="K29" s="33">
        <f t="shared" si="12"/>
        <v>1.78820863</v>
      </c>
      <c r="L29" s="33">
        <f t="shared" si="12"/>
        <v>1.161</v>
      </c>
      <c r="M29" s="33">
        <f t="shared" si="12"/>
        <v>0.17319900000000002</v>
      </c>
      <c r="N29" s="33">
        <f t="shared" si="12"/>
        <v>2.724294002142857</v>
      </c>
      <c r="O29" s="33">
        <f t="shared" si="12"/>
        <v>1.6033792142857141E-2</v>
      </c>
      <c r="P29" s="33">
        <f t="shared" si="12"/>
        <v>4.506120999999999E-2</v>
      </c>
      <c r="Q29" s="33">
        <f t="shared" si="12"/>
        <v>2.472</v>
      </c>
      <c r="R29" s="33">
        <f t="shared" si="12"/>
        <v>0.19119900000000001</v>
      </c>
      <c r="S29" s="33">
        <f t="shared" si="12"/>
        <v>2.9209999999999998</v>
      </c>
      <c r="T29" s="33">
        <f t="shared" si="12"/>
        <v>1.4E-2</v>
      </c>
      <c r="U29" s="33">
        <f t="shared" si="12"/>
        <v>4.3999999999999997E-2</v>
      </c>
      <c r="V29" s="33">
        <f t="shared" si="12"/>
        <v>2.863</v>
      </c>
      <c r="W29" s="33">
        <f t="shared" si="12"/>
        <v>0</v>
      </c>
      <c r="X29" s="33">
        <f t="shared" si="12"/>
        <v>2.450304957857143</v>
      </c>
      <c r="Y29" s="33">
        <f t="shared" ref="Y29:Y62" si="13">E29-D29</f>
        <v>-1.8873049578571419</v>
      </c>
      <c r="Z29" s="33">
        <f t="shared" ref="Z29:Z63" si="14">IF(D29=0," ",Y29/D29*100)</f>
        <v>-46.18954865044401</v>
      </c>
      <c r="AA29" s="33">
        <f t="shared" si="12"/>
        <v>0</v>
      </c>
      <c r="AB29" s="33">
        <f t="shared" si="12"/>
        <v>0</v>
      </c>
      <c r="AC29" s="33">
        <f t="shared" si="12"/>
        <v>0</v>
      </c>
    </row>
    <row r="30" spans="1:29" ht="45" x14ac:dyDescent="0.2">
      <c r="A30" s="22" t="s">
        <v>212</v>
      </c>
      <c r="B30" s="280" t="s">
        <v>160</v>
      </c>
      <c r="C30" s="277">
        <v>0.27600000000000002</v>
      </c>
      <c r="D30" s="277">
        <f t="shared" ref="D30:D41" si="15">F30+H30+J30+L30</f>
        <v>0.27600000000000002</v>
      </c>
      <c r="E30" s="277">
        <f t="shared" ref="E30:E41" si="16">G30+I30+K30+M30</f>
        <v>0.15529916251879899</v>
      </c>
      <c r="F30" s="277"/>
      <c r="G30" s="277">
        <v>2.2329000000000001E-4</v>
      </c>
      <c r="H30" s="277"/>
      <c r="I30" s="295"/>
      <c r="J30" s="277">
        <v>0.27600000000000002</v>
      </c>
      <c r="K30" s="296">
        <v>0.143075872518799</v>
      </c>
      <c r="L30" s="277"/>
      <c r="M30" s="277">
        <v>1.2E-2</v>
      </c>
      <c r="N30" s="277">
        <f t="shared" si="8"/>
        <v>0.22141984000000001</v>
      </c>
      <c r="O30" s="277">
        <v>2.2329000000000001E-4</v>
      </c>
      <c r="P30" s="277">
        <v>1.9654999999999998E-4</v>
      </c>
      <c r="Q30" s="277">
        <f>0+0.192+0.002</f>
        <v>0.19400000000000001</v>
      </c>
      <c r="R30" s="277">
        <v>2.7E-2</v>
      </c>
      <c r="S30" s="277">
        <f t="shared" si="9"/>
        <v>0.22800000000000001</v>
      </c>
      <c r="T30" s="277"/>
      <c r="U30" s="277"/>
      <c r="V30" s="277">
        <f>0+0.228</f>
        <v>0.22800000000000001</v>
      </c>
      <c r="W30" s="277">
        <v>0</v>
      </c>
      <c r="X30" s="26">
        <f t="shared" ref="X30:X41" si="17">C30-E30</f>
        <v>0.12070083748120103</v>
      </c>
      <c r="Y30" s="26">
        <f t="shared" si="13"/>
        <v>-0.12070083748120103</v>
      </c>
      <c r="Z30" s="26">
        <f t="shared" si="14"/>
        <v>-43.732187493188775</v>
      </c>
      <c r="AA30" s="26"/>
      <c r="AB30" s="26"/>
      <c r="AC30" s="26"/>
    </row>
    <row r="31" spans="1:29" ht="45" x14ac:dyDescent="0.2">
      <c r="A31" s="22" t="s">
        <v>213</v>
      </c>
      <c r="B31" s="280" t="s">
        <v>161</v>
      </c>
      <c r="C31" s="26">
        <v>0.58899999999999997</v>
      </c>
      <c r="D31" s="26">
        <f t="shared" si="15"/>
        <v>0.58899999999999997</v>
      </c>
      <c r="E31" s="26">
        <f t="shared" si="16"/>
        <v>0.28555605670355122</v>
      </c>
      <c r="F31" s="26"/>
      <c r="G31" s="43">
        <f>0.00027314+0.0164</f>
        <v>1.6673140000000003E-2</v>
      </c>
      <c r="H31" s="26">
        <v>0.32</v>
      </c>
      <c r="I31" s="26">
        <v>0</v>
      </c>
      <c r="J31" s="26">
        <v>0.26900000000000002</v>
      </c>
      <c r="K31" s="26">
        <v>0.26888291670355119</v>
      </c>
      <c r="L31" s="26"/>
      <c r="M31" s="26"/>
      <c r="N31" s="26">
        <f t="shared" si="8"/>
        <v>0.44558949999999997</v>
      </c>
      <c r="O31" s="26">
        <v>1.4376799999999999E-2</v>
      </c>
      <c r="P31" s="26">
        <v>2.1270000000000002E-4</v>
      </c>
      <c r="Q31" s="26">
        <v>0.43099999999999999</v>
      </c>
      <c r="R31" s="26"/>
      <c r="S31" s="26">
        <f t="shared" si="9"/>
        <v>0.51500000000000001</v>
      </c>
      <c r="T31" s="26">
        <v>1.4E-2</v>
      </c>
      <c r="U31" s="26"/>
      <c r="V31" s="26">
        <v>0.501</v>
      </c>
      <c r="W31" s="26"/>
      <c r="X31" s="26">
        <f t="shared" si="17"/>
        <v>0.30344394329644875</v>
      </c>
      <c r="Y31" s="26">
        <f t="shared" si="13"/>
        <v>-0.30344394329644875</v>
      </c>
      <c r="Z31" s="26">
        <f t="shared" si="14"/>
        <v>-51.518496315186546</v>
      </c>
      <c r="AA31" s="26"/>
      <c r="AB31" s="26"/>
      <c r="AC31" s="26"/>
    </row>
    <row r="32" spans="1:29" ht="30" x14ac:dyDescent="0.2">
      <c r="A32" s="275" t="s">
        <v>214</v>
      </c>
      <c r="B32" s="21" t="s">
        <v>168</v>
      </c>
      <c r="C32" s="26">
        <v>0.16400000000000001</v>
      </c>
      <c r="D32" s="26">
        <f t="shared" si="15"/>
        <v>0</v>
      </c>
      <c r="E32" s="26">
        <f t="shared" si="16"/>
        <v>0.16438139999999998</v>
      </c>
      <c r="F32" s="26"/>
      <c r="G32" s="26">
        <v>0.16438139999999998</v>
      </c>
      <c r="H32" s="26"/>
      <c r="I32" s="26"/>
      <c r="J32" s="26"/>
      <c r="K32" s="26"/>
      <c r="L32" s="26"/>
      <c r="M32" s="26"/>
      <c r="N32" s="26">
        <f t="shared" si="8"/>
        <v>0</v>
      </c>
      <c r="O32" s="26">
        <v>0</v>
      </c>
      <c r="P32" s="26"/>
      <c r="Q32" s="26"/>
      <c r="R32" s="26"/>
      <c r="S32" s="26">
        <f t="shared" si="9"/>
        <v>0</v>
      </c>
      <c r="T32" s="26"/>
      <c r="U32" s="26"/>
      <c r="V32" s="26"/>
      <c r="W32" s="26"/>
      <c r="X32" s="26">
        <f t="shared" si="17"/>
        <v>-3.813999999999762E-4</v>
      </c>
      <c r="Y32" s="26">
        <f t="shared" si="13"/>
        <v>0.16438139999999998</v>
      </c>
      <c r="Z32" s="26" t="str">
        <f t="shared" si="14"/>
        <v xml:space="preserve"> </v>
      </c>
      <c r="AA32" s="26"/>
      <c r="AB32" s="26"/>
      <c r="AC32" s="26"/>
    </row>
    <row r="33" spans="1:29" ht="30" x14ac:dyDescent="0.2">
      <c r="A33" s="22" t="s">
        <v>215</v>
      </c>
      <c r="B33" s="280" t="s">
        <v>162</v>
      </c>
      <c r="C33" s="26">
        <v>0.25700000000000001</v>
      </c>
      <c r="D33" s="26">
        <f t="shared" si="15"/>
        <v>0.25700000000000001</v>
      </c>
      <c r="E33" s="26">
        <f t="shared" si="16"/>
        <v>0.11963265421057175</v>
      </c>
      <c r="F33" s="26"/>
      <c r="G33" s="26">
        <v>2.2361000000000001E-4</v>
      </c>
      <c r="H33" s="26"/>
      <c r="I33" s="26">
        <v>0</v>
      </c>
      <c r="J33" s="26">
        <v>0.25700000000000001</v>
      </c>
      <c r="K33" s="26">
        <v>0.11940904421057175</v>
      </c>
      <c r="L33" s="26"/>
      <c r="M33" s="26"/>
      <c r="N33" s="26">
        <f t="shared" si="8"/>
        <v>0.18341996999999999</v>
      </c>
      <c r="O33" s="26">
        <v>2.2361000000000001E-4</v>
      </c>
      <c r="P33" s="26">
        <v>1.9636E-4</v>
      </c>
      <c r="Q33" s="26">
        <v>0.183</v>
      </c>
      <c r="R33" s="26"/>
      <c r="S33" s="26">
        <f t="shared" si="9"/>
        <v>0.219</v>
      </c>
      <c r="T33" s="26"/>
      <c r="U33" s="26"/>
      <c r="V33" s="26">
        <v>0.219</v>
      </c>
      <c r="W33" s="26"/>
      <c r="X33" s="26">
        <f t="shared" si="17"/>
        <v>0.13736734578942827</v>
      </c>
      <c r="Y33" s="26">
        <f t="shared" si="13"/>
        <v>-0.13736734578942827</v>
      </c>
      <c r="Z33" s="26">
        <f t="shared" si="14"/>
        <v>-53.450329100944849</v>
      </c>
      <c r="AA33" s="26"/>
      <c r="AB33" s="26"/>
      <c r="AC33" s="26"/>
    </row>
    <row r="34" spans="1:29" ht="30" x14ac:dyDescent="0.2">
      <c r="A34" s="22" t="s">
        <v>216</v>
      </c>
      <c r="B34" s="280" t="s">
        <v>163</v>
      </c>
      <c r="C34" s="26">
        <v>0.253</v>
      </c>
      <c r="D34" s="26">
        <f t="shared" si="15"/>
        <v>0.253</v>
      </c>
      <c r="E34" s="26">
        <f t="shared" si="16"/>
        <v>0.13442970242638677</v>
      </c>
      <c r="F34" s="26"/>
      <c r="G34" s="26">
        <v>2.2389E-4</v>
      </c>
      <c r="H34" s="26"/>
      <c r="I34" s="26">
        <v>0</v>
      </c>
      <c r="J34" s="26">
        <v>0.253</v>
      </c>
      <c r="K34" s="26">
        <v>0.13420581242638677</v>
      </c>
      <c r="L34" s="26"/>
      <c r="M34" s="26"/>
      <c r="N34" s="26">
        <f t="shared" si="8"/>
        <v>0.14641409</v>
      </c>
      <c r="O34" s="26">
        <v>2.2389E-4</v>
      </c>
      <c r="P34" s="26">
        <v>1.9019999999999999E-4</v>
      </c>
      <c r="Q34" s="26">
        <v>0.14599999999999999</v>
      </c>
      <c r="R34" s="26"/>
      <c r="S34" s="26">
        <f t="shared" si="9"/>
        <v>0.216</v>
      </c>
      <c r="T34" s="26"/>
      <c r="U34" s="26"/>
      <c r="V34" s="26">
        <v>0.216</v>
      </c>
      <c r="W34" s="26"/>
      <c r="X34" s="26">
        <f t="shared" si="17"/>
        <v>0.11857029757361323</v>
      </c>
      <c r="Y34" s="26">
        <f t="shared" si="13"/>
        <v>-0.11857029757361323</v>
      </c>
      <c r="Z34" s="26">
        <f t="shared" si="14"/>
        <v>-46.865730266250289</v>
      </c>
      <c r="AA34" s="26"/>
      <c r="AB34" s="26"/>
      <c r="AC34" s="26"/>
    </row>
    <row r="35" spans="1:29" ht="30" x14ac:dyDescent="0.2">
      <c r="A35" s="22" t="s">
        <v>217</v>
      </c>
      <c r="B35" s="280" t="s">
        <v>167</v>
      </c>
      <c r="C35" s="26">
        <v>1.161</v>
      </c>
      <c r="D35" s="26">
        <f t="shared" si="15"/>
        <v>1.161</v>
      </c>
      <c r="E35" s="26">
        <f t="shared" si="16"/>
        <v>0.5322728734369353</v>
      </c>
      <c r="F35" s="26"/>
      <c r="G35" s="26"/>
      <c r="H35" s="26"/>
      <c r="I35" s="26">
        <v>1E-3</v>
      </c>
      <c r="J35" s="26"/>
      <c r="K35" s="26">
        <v>0.5312728734369353</v>
      </c>
      <c r="L35" s="26">
        <v>1.161</v>
      </c>
      <c r="M35" s="26"/>
      <c r="N35" s="26">
        <f t="shared" ref="N35:N41" si="18">O35+P35+Q35+R35</f>
        <v>0.84682694000000003</v>
      </c>
      <c r="O35" s="26">
        <v>4.2412E-4</v>
      </c>
      <c r="P35" s="26">
        <v>4.0281999999999997E-4</v>
      </c>
      <c r="Q35" s="26">
        <v>0.84599999999999997</v>
      </c>
      <c r="R35" s="26"/>
      <c r="S35" s="26">
        <f t="shared" ref="S35:S41" si="19">T35+U35+V35+W35</f>
        <v>0.98799999999999999</v>
      </c>
      <c r="T35" s="26"/>
      <c r="U35" s="26"/>
      <c r="V35" s="26">
        <v>0.98799999999999999</v>
      </c>
      <c r="W35" s="26"/>
      <c r="X35" s="26">
        <f t="shared" si="17"/>
        <v>0.62872712656306473</v>
      </c>
      <c r="Y35" s="26">
        <f t="shared" si="13"/>
        <v>-0.62872712656306473</v>
      </c>
      <c r="Z35" s="26">
        <f t="shared" si="14"/>
        <v>-54.153929936525813</v>
      </c>
      <c r="AA35" s="26"/>
      <c r="AB35" s="26"/>
      <c r="AC35" s="26"/>
    </row>
    <row r="36" spans="1:29" ht="46.15" customHeight="1" x14ac:dyDescent="0.2">
      <c r="A36" s="22" t="s">
        <v>218</v>
      </c>
      <c r="B36" s="280" t="s">
        <v>164</v>
      </c>
      <c r="C36" s="26">
        <v>0.85699999999999998</v>
      </c>
      <c r="D36" s="26">
        <f t="shared" si="15"/>
        <v>0.85699999999999998</v>
      </c>
      <c r="E36" s="26">
        <f t="shared" si="16"/>
        <v>0.37778619070375613</v>
      </c>
      <c r="F36" s="26"/>
      <c r="G36" s="26">
        <v>2.7317999999999998E-4</v>
      </c>
      <c r="H36" s="26"/>
      <c r="I36" s="26">
        <v>0</v>
      </c>
      <c r="J36" s="26">
        <v>0.85699999999999998</v>
      </c>
      <c r="K36" s="26">
        <v>0.37751301070375615</v>
      </c>
      <c r="L36" s="26"/>
      <c r="M36" s="26"/>
      <c r="N36" s="26">
        <f t="shared" si="18"/>
        <v>0.43348585000000001</v>
      </c>
      <c r="O36" s="26">
        <v>2.7317999999999998E-4</v>
      </c>
      <c r="P36" s="26">
        <v>2.1266999999999998E-4</v>
      </c>
      <c r="Q36" s="26">
        <v>0.433</v>
      </c>
      <c r="R36" s="26"/>
      <c r="S36" s="26">
        <f t="shared" si="19"/>
        <v>0.46899999999999997</v>
      </c>
      <c r="T36" s="26"/>
      <c r="U36" s="26"/>
      <c r="V36" s="26">
        <v>0.46899999999999997</v>
      </c>
      <c r="W36" s="26"/>
      <c r="X36" s="26">
        <f t="shared" si="17"/>
        <v>0.47921380929624385</v>
      </c>
      <c r="Y36" s="26">
        <f t="shared" si="13"/>
        <v>-0.47921380929624385</v>
      </c>
      <c r="Z36" s="26">
        <f t="shared" si="14"/>
        <v>-55.91759735078692</v>
      </c>
      <c r="AA36" s="26"/>
      <c r="AB36" s="26"/>
      <c r="AC36" s="26"/>
    </row>
    <row r="37" spans="1:29" ht="47.25" customHeight="1" x14ac:dyDescent="0.2">
      <c r="A37" s="275" t="s">
        <v>219</v>
      </c>
      <c r="B37" s="21" t="s">
        <v>166</v>
      </c>
      <c r="C37" s="26">
        <v>0.183</v>
      </c>
      <c r="D37" s="26">
        <f t="shared" si="15"/>
        <v>0</v>
      </c>
      <c r="E37" s="26">
        <f t="shared" si="16"/>
        <v>0.18318951214285711</v>
      </c>
      <c r="F37" s="26"/>
      <c r="G37" s="26">
        <v>1.5992142857142855E-5</v>
      </c>
      <c r="H37" s="26"/>
      <c r="I37" s="26">
        <v>0</v>
      </c>
      <c r="J37" s="26"/>
      <c r="K37" s="26">
        <v>0.18317351999999998</v>
      </c>
      <c r="L37" s="26"/>
      <c r="M37" s="26"/>
      <c r="N37" s="26">
        <f t="shared" si="18"/>
        <v>0.20521208214285713</v>
      </c>
      <c r="O37" s="26">
        <v>1.5992142857142855E-5</v>
      </c>
      <c r="P37" s="26">
        <v>1.9609E-4</v>
      </c>
      <c r="Q37" s="26">
        <v>0.20499999999999999</v>
      </c>
      <c r="R37" s="26"/>
      <c r="S37" s="26">
        <f t="shared" si="19"/>
        <v>0.24199999999999999</v>
      </c>
      <c r="T37" s="26"/>
      <c r="U37" s="26"/>
      <c r="V37" s="26">
        <v>0.24199999999999999</v>
      </c>
      <c r="W37" s="26"/>
      <c r="X37" s="26">
        <f t="shared" si="17"/>
        <v>-1.8951214285711782E-4</v>
      </c>
      <c r="Y37" s="26">
        <f t="shared" si="13"/>
        <v>0.18318951214285711</v>
      </c>
      <c r="Z37" s="26" t="str">
        <f t="shared" si="14"/>
        <v xml:space="preserve"> </v>
      </c>
      <c r="AA37" s="26"/>
      <c r="AB37" s="26"/>
      <c r="AC37" s="26"/>
    </row>
    <row r="38" spans="1:29" ht="60" x14ac:dyDescent="0.2">
      <c r="A38" s="275" t="s">
        <v>220</v>
      </c>
      <c r="B38" s="21" t="s">
        <v>242</v>
      </c>
      <c r="C38" s="26">
        <v>0.05</v>
      </c>
      <c r="D38" s="26">
        <f t="shared" si="15"/>
        <v>0</v>
      </c>
      <c r="E38" s="26">
        <f t="shared" si="16"/>
        <v>0.05</v>
      </c>
      <c r="F38" s="26"/>
      <c r="G38" s="26"/>
      <c r="H38" s="26"/>
      <c r="I38" s="26">
        <v>0.05</v>
      </c>
      <c r="J38" s="26"/>
      <c r="K38" s="26"/>
      <c r="L38" s="26"/>
      <c r="M38" s="26"/>
      <c r="N38" s="26">
        <f t="shared" si="18"/>
        <v>4.345381999999999E-2</v>
      </c>
      <c r="O38" s="26"/>
      <c r="P38" s="26">
        <v>4.345381999999999E-2</v>
      </c>
      <c r="Q38" s="26"/>
      <c r="R38" s="26"/>
      <c r="S38" s="26">
        <f t="shared" si="19"/>
        <v>4.3999999999999997E-2</v>
      </c>
      <c r="T38" s="26"/>
      <c r="U38" s="26">
        <v>4.3999999999999997E-2</v>
      </c>
      <c r="V38" s="26"/>
      <c r="W38" s="26"/>
      <c r="X38" s="26">
        <f t="shared" si="17"/>
        <v>0</v>
      </c>
      <c r="Y38" s="26">
        <f t="shared" si="13"/>
        <v>0.05</v>
      </c>
      <c r="Z38" s="26" t="str">
        <f t="shared" si="14"/>
        <v xml:space="preserve"> </v>
      </c>
      <c r="AA38" s="26"/>
      <c r="AB38" s="26"/>
      <c r="AC38" s="26"/>
    </row>
    <row r="39" spans="1:29" ht="30" x14ac:dyDescent="0.2">
      <c r="A39" s="275" t="s">
        <v>221</v>
      </c>
      <c r="B39" s="297" t="s">
        <v>200</v>
      </c>
      <c r="C39" s="277">
        <v>0.13200000000000001</v>
      </c>
      <c r="D39" s="277">
        <f t="shared" si="15"/>
        <v>0</v>
      </c>
      <c r="E39" s="277">
        <f t="shared" si="16"/>
        <v>0.13223381000000001</v>
      </c>
      <c r="F39" s="277"/>
      <c r="G39" s="277"/>
      <c r="H39" s="277"/>
      <c r="I39" s="277"/>
      <c r="J39" s="277"/>
      <c r="K39" s="277">
        <v>2.3381000000000001E-4</v>
      </c>
      <c r="L39" s="277"/>
      <c r="M39" s="277">
        <v>0.13200000000000001</v>
      </c>
      <c r="N39" s="277">
        <f t="shared" si="18"/>
        <v>0.13200000000000001</v>
      </c>
      <c r="O39" s="277">
        <v>0</v>
      </c>
      <c r="P39" s="277"/>
      <c r="Q39" s="277"/>
      <c r="R39" s="277">
        <v>0.13200000000000001</v>
      </c>
      <c r="S39" s="277">
        <f t="shared" si="19"/>
        <v>0</v>
      </c>
      <c r="T39" s="277"/>
      <c r="U39" s="277"/>
      <c r="V39" s="277">
        <v>0</v>
      </c>
      <c r="W39" s="277"/>
      <c r="X39" s="26">
        <f t="shared" si="17"/>
        <v>-2.3381000000000096E-4</v>
      </c>
      <c r="Y39" s="26">
        <f t="shared" si="13"/>
        <v>0.13223381000000001</v>
      </c>
      <c r="Z39" s="26" t="str">
        <f t="shared" si="14"/>
        <v xml:space="preserve"> </v>
      </c>
      <c r="AA39" s="26"/>
      <c r="AB39" s="26"/>
      <c r="AC39" s="26"/>
    </row>
    <row r="40" spans="1:29" ht="45" x14ac:dyDescent="0.2">
      <c r="A40" s="275" t="s">
        <v>222</v>
      </c>
      <c r="B40" s="14" t="s">
        <v>201</v>
      </c>
      <c r="C40" s="277">
        <v>3.4000000000000002E-2</v>
      </c>
      <c r="D40" s="277">
        <f t="shared" si="15"/>
        <v>0</v>
      </c>
      <c r="E40" s="277">
        <f t="shared" si="16"/>
        <v>3.4403070000000001E-2</v>
      </c>
      <c r="F40" s="277"/>
      <c r="G40" s="277"/>
      <c r="H40" s="277"/>
      <c r="I40" s="277">
        <v>4.0000000000000001E-3</v>
      </c>
      <c r="J40" s="277"/>
      <c r="K40" s="277">
        <v>3.020407E-2</v>
      </c>
      <c r="L40" s="277"/>
      <c r="M40" s="277">
        <v>1.9900000000000001E-4</v>
      </c>
      <c r="N40" s="277">
        <f t="shared" si="18"/>
        <v>3.4199E-2</v>
      </c>
      <c r="O40" s="277">
        <v>0</v>
      </c>
      <c r="P40" s="298"/>
      <c r="Q40" s="277">
        <v>3.4000000000000002E-2</v>
      </c>
      <c r="R40" s="277">
        <v>1.9900000000000001E-4</v>
      </c>
      <c r="S40" s="277">
        <f t="shared" si="19"/>
        <v>0</v>
      </c>
      <c r="T40" s="277"/>
      <c r="U40" s="277"/>
      <c r="V40" s="277">
        <v>0</v>
      </c>
      <c r="W40" s="277"/>
      <c r="X40" s="26">
        <f t="shared" si="17"/>
        <v>-4.0306999999999843E-4</v>
      </c>
      <c r="Y40" s="26">
        <f t="shared" si="13"/>
        <v>3.4403070000000001E-2</v>
      </c>
      <c r="Z40" s="26" t="str">
        <f t="shared" si="14"/>
        <v xml:space="preserve"> </v>
      </c>
      <c r="AA40" s="26"/>
      <c r="AB40" s="26"/>
      <c r="AC40" s="26"/>
    </row>
    <row r="41" spans="1:29" ht="30" x14ac:dyDescent="0.2">
      <c r="A41" s="22" t="s">
        <v>223</v>
      </c>
      <c r="B41" s="280" t="s">
        <v>173</v>
      </c>
      <c r="C41" s="277">
        <v>0.69299999999999995</v>
      </c>
      <c r="D41" s="277">
        <f t="shared" si="15"/>
        <v>0.69299999999999995</v>
      </c>
      <c r="E41" s="277">
        <f t="shared" si="16"/>
        <v>2.9510610000000003E-2</v>
      </c>
      <c r="F41" s="277"/>
      <c r="G41" s="277">
        <v>2.7291000000000001E-4</v>
      </c>
      <c r="H41" s="277"/>
      <c r="I41" s="277">
        <v>0</v>
      </c>
      <c r="J41" s="277">
        <v>0.69299999999999995</v>
      </c>
      <c r="K41" s="277">
        <v>2.377E-4</v>
      </c>
      <c r="L41" s="277"/>
      <c r="M41" s="277">
        <v>2.9000000000000001E-2</v>
      </c>
      <c r="N41" s="277">
        <f t="shared" si="18"/>
        <v>3.2272910000000002E-2</v>
      </c>
      <c r="O41" s="277">
        <v>2.7291000000000001E-4</v>
      </c>
      <c r="P41" s="277">
        <v>0</v>
      </c>
      <c r="Q41" s="277">
        <v>0</v>
      </c>
      <c r="R41" s="277">
        <v>3.2000000000000001E-2</v>
      </c>
      <c r="S41" s="277">
        <f t="shared" si="19"/>
        <v>0</v>
      </c>
      <c r="T41" s="277"/>
      <c r="U41" s="277">
        <v>0</v>
      </c>
      <c r="V41" s="277">
        <v>0</v>
      </c>
      <c r="W41" s="277"/>
      <c r="X41" s="26">
        <f t="shared" si="17"/>
        <v>0.66348938999999996</v>
      </c>
      <c r="Y41" s="26">
        <f t="shared" si="13"/>
        <v>-0.66348938999999996</v>
      </c>
      <c r="Z41" s="26">
        <f t="shared" si="14"/>
        <v>-95.741614718614727</v>
      </c>
      <c r="AA41" s="26"/>
      <c r="AB41" s="26"/>
      <c r="AC41" s="26"/>
    </row>
    <row r="42" spans="1:29" x14ac:dyDescent="0.2">
      <c r="A42" s="29" t="s">
        <v>17</v>
      </c>
      <c r="B42" s="20" t="s">
        <v>21</v>
      </c>
      <c r="C42" s="33">
        <f t="shared" ref="C42:AC42" si="20">C43+C44</f>
        <v>4653.1600000000017</v>
      </c>
      <c r="D42" s="33">
        <f t="shared" si="20"/>
        <v>1974.0610000000001</v>
      </c>
      <c r="E42" s="33">
        <f t="shared" si="20"/>
        <v>202.84780907439998</v>
      </c>
      <c r="F42" s="33">
        <f t="shared" si="20"/>
        <v>118.75700000000001</v>
      </c>
      <c r="G42" s="33">
        <f t="shared" si="20"/>
        <v>11.1064061744</v>
      </c>
      <c r="H42" s="33">
        <f t="shared" si="20"/>
        <v>541.76599999999996</v>
      </c>
      <c r="I42" s="33">
        <f t="shared" si="20"/>
        <v>9.4719999999999995</v>
      </c>
      <c r="J42" s="33">
        <f t="shared" si="20"/>
        <v>825.87699999999984</v>
      </c>
      <c r="K42" s="33">
        <f t="shared" si="20"/>
        <v>8.3831578999999987</v>
      </c>
      <c r="L42" s="33">
        <f t="shared" si="20"/>
        <v>487.66100000000006</v>
      </c>
      <c r="M42" s="33">
        <f t="shared" si="20"/>
        <v>173.886245</v>
      </c>
      <c r="N42" s="33">
        <f t="shared" si="20"/>
        <v>133.74588323000003</v>
      </c>
      <c r="O42" s="33" t="e">
        <f t="shared" si="20"/>
        <v>#REF!</v>
      </c>
      <c r="P42" s="33" t="e">
        <f t="shared" si="20"/>
        <v>#REF!</v>
      </c>
      <c r="Q42" s="33" t="e">
        <f t="shared" si="20"/>
        <v>#REF!</v>
      </c>
      <c r="R42" s="33">
        <f t="shared" si="20"/>
        <v>118.98199700000002</v>
      </c>
      <c r="S42" s="33">
        <f t="shared" si="20"/>
        <v>0.53699999999999992</v>
      </c>
      <c r="T42" s="33" t="e">
        <f t="shared" si="20"/>
        <v>#REF!</v>
      </c>
      <c r="U42" s="33" t="e">
        <f t="shared" si="20"/>
        <v>#REF!</v>
      </c>
      <c r="V42" s="33" t="e">
        <f t="shared" si="20"/>
        <v>#REF!</v>
      </c>
      <c r="W42" s="33">
        <f t="shared" si="20"/>
        <v>0.41199999999999998</v>
      </c>
      <c r="X42" s="33">
        <f t="shared" si="20"/>
        <v>4450.3121909255988</v>
      </c>
      <c r="Y42" s="33">
        <f t="shared" si="13"/>
        <v>-1771.2131909256002</v>
      </c>
      <c r="Z42" s="33">
        <f t="shared" si="14"/>
        <v>-89.724339365683235</v>
      </c>
      <c r="AA42" s="33">
        <f t="shared" si="20"/>
        <v>0</v>
      </c>
      <c r="AB42" s="33">
        <f t="shared" si="20"/>
        <v>0</v>
      </c>
      <c r="AC42" s="33">
        <f t="shared" si="20"/>
        <v>0</v>
      </c>
    </row>
    <row r="43" spans="1:29" ht="28.5" x14ac:dyDescent="0.2">
      <c r="A43" s="29" t="s">
        <v>33</v>
      </c>
      <c r="B43" s="20" t="s">
        <v>15</v>
      </c>
      <c r="C43" s="33">
        <v>0</v>
      </c>
      <c r="D43" s="33">
        <v>0</v>
      </c>
      <c r="E43" s="33">
        <v>0</v>
      </c>
      <c r="F43" s="33">
        <v>0</v>
      </c>
      <c r="G43" s="33">
        <v>0</v>
      </c>
      <c r="H43" s="33">
        <v>0</v>
      </c>
      <c r="I43" s="33">
        <v>0</v>
      </c>
      <c r="J43" s="33">
        <v>0</v>
      </c>
      <c r="K43" s="33">
        <v>0</v>
      </c>
      <c r="L43" s="33">
        <v>0</v>
      </c>
      <c r="M43" s="33">
        <v>0</v>
      </c>
      <c r="N43" s="33">
        <v>0</v>
      </c>
      <c r="O43" s="33" t="e">
        <f>SUM(#REF!)</f>
        <v>#REF!</v>
      </c>
      <c r="P43" s="33" t="e">
        <f>SUM(#REF!)</f>
        <v>#REF!</v>
      </c>
      <c r="Q43" s="33" t="e">
        <f>SUM(#REF!)</f>
        <v>#REF!</v>
      </c>
      <c r="R43" s="33">
        <v>0</v>
      </c>
      <c r="S43" s="33">
        <v>0</v>
      </c>
      <c r="T43" s="33" t="e">
        <f>SUM(#REF!)</f>
        <v>#REF!</v>
      </c>
      <c r="U43" s="33" t="e">
        <f>SUM(#REF!)</f>
        <v>#REF!</v>
      </c>
      <c r="V43" s="33" t="e">
        <f>SUM(#REF!)</f>
        <v>#REF!</v>
      </c>
      <c r="W43" s="33">
        <v>0</v>
      </c>
      <c r="X43" s="33">
        <v>0</v>
      </c>
      <c r="Y43" s="33">
        <f t="shared" si="13"/>
        <v>0</v>
      </c>
      <c r="Z43" s="33" t="str">
        <f t="shared" si="14"/>
        <v xml:space="preserve"> </v>
      </c>
      <c r="AA43" s="33">
        <v>0</v>
      </c>
      <c r="AB43" s="33">
        <v>0</v>
      </c>
      <c r="AC43" s="33">
        <v>0</v>
      </c>
    </row>
    <row r="44" spans="1:29" x14ac:dyDescent="0.2">
      <c r="A44" s="29" t="s">
        <v>34</v>
      </c>
      <c r="B44" s="20" t="s">
        <v>22</v>
      </c>
      <c r="C44" s="33">
        <f t="shared" ref="C44:AC44" si="21">SUM(C45:C63)</f>
        <v>4653.1600000000017</v>
      </c>
      <c r="D44" s="33">
        <f t="shared" si="21"/>
        <v>1974.0610000000001</v>
      </c>
      <c r="E44" s="33">
        <f t="shared" si="21"/>
        <v>202.84780907439998</v>
      </c>
      <c r="F44" s="33">
        <f t="shared" si="21"/>
        <v>118.75700000000001</v>
      </c>
      <c r="G44" s="33">
        <f t="shared" si="21"/>
        <v>11.1064061744</v>
      </c>
      <c r="H44" s="33">
        <f t="shared" si="21"/>
        <v>541.76599999999996</v>
      </c>
      <c r="I44" s="33">
        <f t="shared" si="21"/>
        <v>9.4719999999999995</v>
      </c>
      <c r="J44" s="33">
        <f t="shared" si="21"/>
        <v>825.87699999999984</v>
      </c>
      <c r="K44" s="33">
        <f t="shared" si="21"/>
        <v>8.3831578999999987</v>
      </c>
      <c r="L44" s="33">
        <f t="shared" si="21"/>
        <v>487.66100000000006</v>
      </c>
      <c r="M44" s="33">
        <f t="shared" si="21"/>
        <v>173.886245</v>
      </c>
      <c r="N44" s="33">
        <f t="shared" si="21"/>
        <v>133.74588323000003</v>
      </c>
      <c r="O44" s="33">
        <f t="shared" si="21"/>
        <v>5.1754466700000004</v>
      </c>
      <c r="P44" s="33">
        <f t="shared" si="21"/>
        <v>2.3594395600000002</v>
      </c>
      <c r="Q44" s="33">
        <f t="shared" si="21"/>
        <v>7.2290000000000001</v>
      </c>
      <c r="R44" s="33">
        <f t="shared" si="21"/>
        <v>118.98199700000002</v>
      </c>
      <c r="S44" s="33">
        <f t="shared" si="21"/>
        <v>0.53699999999999992</v>
      </c>
      <c r="T44" s="33">
        <f t="shared" si="21"/>
        <v>0.123</v>
      </c>
      <c r="U44" s="33">
        <f t="shared" si="21"/>
        <v>0</v>
      </c>
      <c r="V44" s="33">
        <f t="shared" si="21"/>
        <v>2E-3</v>
      </c>
      <c r="W44" s="33">
        <f t="shared" si="21"/>
        <v>0.41199999999999998</v>
      </c>
      <c r="X44" s="33">
        <f t="shared" si="21"/>
        <v>4450.3121909255988</v>
      </c>
      <c r="Y44" s="33">
        <f t="shared" si="13"/>
        <v>-1771.2131909256002</v>
      </c>
      <c r="Z44" s="33">
        <f t="shared" si="14"/>
        <v>-89.724339365683235</v>
      </c>
      <c r="AA44" s="33">
        <f t="shared" si="21"/>
        <v>0</v>
      </c>
      <c r="AB44" s="33">
        <f t="shared" si="21"/>
        <v>0</v>
      </c>
      <c r="AC44" s="33">
        <f t="shared" si="21"/>
        <v>0</v>
      </c>
    </row>
    <row r="45" spans="1:29" ht="105" x14ac:dyDescent="0.2">
      <c r="A45" s="22" t="s">
        <v>224</v>
      </c>
      <c r="B45" s="27" t="s">
        <v>189</v>
      </c>
      <c r="C45" s="277">
        <v>789.76300000000003</v>
      </c>
      <c r="D45" s="277">
        <f t="shared" ref="D45:D62" si="22">F45+H45+J45+L45</f>
        <v>303.47900000000004</v>
      </c>
      <c r="E45" s="277">
        <f t="shared" ref="E45:E62" si="23">G45+I45+K45+M45</f>
        <v>1.95341783</v>
      </c>
      <c r="F45" s="277"/>
      <c r="G45" s="277">
        <v>0.44626302999999995</v>
      </c>
      <c r="H45" s="299">
        <v>150</v>
      </c>
      <c r="I45" s="277">
        <v>0.66700000000000004</v>
      </c>
      <c r="J45" s="277">
        <v>153.47900000000001</v>
      </c>
      <c r="K45" s="277">
        <v>0.47175479999999997</v>
      </c>
      <c r="L45" s="277"/>
      <c r="M45" s="277">
        <v>0.36840000000000001</v>
      </c>
      <c r="N45" s="277">
        <f t="shared" ref="N45:N63" si="24">O45+P45+Q45+R45</f>
        <v>1.9031000300000001</v>
      </c>
      <c r="O45" s="277">
        <v>0.44626302999999995</v>
      </c>
      <c r="P45" s="277">
        <v>0.62883699999999998</v>
      </c>
      <c r="Q45" s="277">
        <v>0.47199999999999998</v>
      </c>
      <c r="R45" s="277">
        <v>0.35599999999999998</v>
      </c>
      <c r="S45" s="277">
        <f t="shared" ref="S45:S63" si="25">T45+U45+V45+W45</f>
        <v>0</v>
      </c>
      <c r="T45" s="277"/>
      <c r="U45" s="277"/>
      <c r="V45" s="277">
        <v>0</v>
      </c>
      <c r="W45" s="277">
        <v>0</v>
      </c>
      <c r="X45" s="277">
        <f t="shared" ref="X45:X63" si="26">C45-E45</f>
        <v>787.80958217</v>
      </c>
      <c r="Y45" s="277">
        <f t="shared" si="13"/>
        <v>-301.52558217000006</v>
      </c>
      <c r="Z45" s="277">
        <f t="shared" si="14"/>
        <v>-99.356325205368421</v>
      </c>
      <c r="AA45" s="26"/>
      <c r="AB45" s="26"/>
      <c r="AC45" s="26"/>
    </row>
    <row r="46" spans="1:29" ht="107.1" customHeight="1" x14ac:dyDescent="0.2">
      <c r="A46" s="22" t="s">
        <v>225</v>
      </c>
      <c r="B46" s="148" t="s">
        <v>274</v>
      </c>
      <c r="C46" s="277">
        <v>426.83199999999999</v>
      </c>
      <c r="D46" s="277">
        <f t="shared" si="22"/>
        <v>185</v>
      </c>
      <c r="E46" s="277">
        <f t="shared" si="23"/>
        <v>1.4350026499999999</v>
      </c>
      <c r="F46" s="300">
        <v>90.74</v>
      </c>
      <c r="G46" s="277">
        <v>0.42584824999999998</v>
      </c>
      <c r="H46" s="277"/>
      <c r="I46" s="277">
        <v>0.33400000000000002</v>
      </c>
      <c r="J46" s="277">
        <v>94.26</v>
      </c>
      <c r="K46" s="277">
        <v>0.36215439999999999</v>
      </c>
      <c r="L46" s="277"/>
      <c r="M46" s="277">
        <v>0.313</v>
      </c>
      <c r="N46" s="277">
        <f t="shared" si="24"/>
        <v>1.4328189900000001</v>
      </c>
      <c r="O46" s="277">
        <v>0.42584824999999998</v>
      </c>
      <c r="P46" s="277">
        <v>0.33297073999999999</v>
      </c>
      <c r="Q46" s="277">
        <v>0.36199999999999999</v>
      </c>
      <c r="R46" s="277">
        <v>0.312</v>
      </c>
      <c r="S46" s="277">
        <f t="shared" si="25"/>
        <v>0</v>
      </c>
      <c r="T46" s="277"/>
      <c r="U46" s="277"/>
      <c r="V46" s="277">
        <v>0</v>
      </c>
      <c r="W46" s="277">
        <v>0</v>
      </c>
      <c r="X46" s="277">
        <f t="shared" si="26"/>
        <v>425.39699734999999</v>
      </c>
      <c r="Y46" s="277">
        <f t="shared" si="13"/>
        <v>-183.56499735</v>
      </c>
      <c r="Z46" s="277">
        <f t="shared" si="14"/>
        <v>-99.224322891891887</v>
      </c>
      <c r="AA46" s="26"/>
      <c r="AB46" s="26"/>
      <c r="AC46" s="26"/>
    </row>
    <row r="47" spans="1:29" ht="90" x14ac:dyDescent="0.2">
      <c r="A47" s="22" t="s">
        <v>226</v>
      </c>
      <c r="B47" s="148" t="s">
        <v>275</v>
      </c>
      <c r="C47" s="277">
        <v>1623.5630000000001</v>
      </c>
      <c r="D47" s="277">
        <f t="shared" si="22"/>
        <v>405.262</v>
      </c>
      <c r="E47" s="277">
        <f t="shared" si="23"/>
        <v>102.51416675999999</v>
      </c>
      <c r="F47" s="277"/>
      <c r="G47" s="277">
        <v>0.67491609000000008</v>
      </c>
      <c r="H47" s="277">
        <v>200</v>
      </c>
      <c r="I47" s="277">
        <v>0.52500000000000002</v>
      </c>
      <c r="J47" s="277">
        <v>205.262</v>
      </c>
      <c r="K47" s="277">
        <v>0.57085067</v>
      </c>
      <c r="L47" s="277"/>
      <c r="M47" s="277">
        <v>100.74339999999999</v>
      </c>
      <c r="N47" s="277">
        <f t="shared" si="24"/>
        <v>98.936786269999999</v>
      </c>
      <c r="O47" s="277">
        <v>0.67491609000000008</v>
      </c>
      <c r="P47" s="277">
        <v>0.52387017999999996</v>
      </c>
      <c r="Q47" s="277">
        <v>0.57099999999999995</v>
      </c>
      <c r="R47" s="277">
        <v>97.167000000000002</v>
      </c>
      <c r="S47" s="277">
        <f t="shared" si="25"/>
        <v>0</v>
      </c>
      <c r="T47" s="277"/>
      <c r="U47" s="277"/>
      <c r="V47" s="277">
        <v>0</v>
      </c>
      <c r="W47" s="277">
        <v>0</v>
      </c>
      <c r="X47" s="277">
        <f t="shared" si="26"/>
        <v>1521.04883324</v>
      </c>
      <c r="Y47" s="277">
        <f t="shared" si="13"/>
        <v>-302.74783323999998</v>
      </c>
      <c r="Z47" s="277">
        <f t="shared" si="14"/>
        <v>-74.704224240121192</v>
      </c>
      <c r="AA47" s="26"/>
      <c r="AB47" s="26"/>
      <c r="AC47" s="26"/>
    </row>
    <row r="48" spans="1:29" ht="90" x14ac:dyDescent="0.2">
      <c r="A48" s="22" t="s">
        <v>227</v>
      </c>
      <c r="B48" s="148" t="s">
        <v>276</v>
      </c>
      <c r="C48" s="277">
        <v>1182.4290000000001</v>
      </c>
      <c r="D48" s="277">
        <f t="shared" si="22"/>
        <v>784.90899999999999</v>
      </c>
      <c r="E48" s="277">
        <f t="shared" si="23"/>
        <v>1.9843209600000002</v>
      </c>
      <c r="F48" s="277"/>
      <c r="G48" s="277">
        <v>0.59191221999999999</v>
      </c>
      <c r="H48" s="277">
        <v>180</v>
      </c>
      <c r="I48" s="277">
        <v>0.46100000000000002</v>
      </c>
      <c r="J48" s="277">
        <v>300</v>
      </c>
      <c r="K48" s="277">
        <v>0.50100873999999995</v>
      </c>
      <c r="L48" s="277">
        <v>304.90899999999999</v>
      </c>
      <c r="M48" s="277">
        <v>0.4304</v>
      </c>
      <c r="N48" s="277">
        <f t="shared" si="24"/>
        <v>1.9826133799999999</v>
      </c>
      <c r="O48" s="277">
        <v>0.59191221999999999</v>
      </c>
      <c r="P48" s="277">
        <v>0.45970116</v>
      </c>
      <c r="Q48" s="277">
        <v>0.501</v>
      </c>
      <c r="R48" s="277">
        <v>0.43</v>
      </c>
      <c r="S48" s="277">
        <f t="shared" si="25"/>
        <v>0</v>
      </c>
      <c r="T48" s="277"/>
      <c r="U48" s="277"/>
      <c r="V48" s="277">
        <v>0</v>
      </c>
      <c r="W48" s="277">
        <v>0</v>
      </c>
      <c r="X48" s="277">
        <f t="shared" si="26"/>
        <v>1180.44467904</v>
      </c>
      <c r="Y48" s="277">
        <f t="shared" si="13"/>
        <v>-782.92467904</v>
      </c>
      <c r="Z48" s="277">
        <f t="shared" si="14"/>
        <v>-99.747190953346191</v>
      </c>
      <c r="AA48" s="26"/>
      <c r="AB48" s="26"/>
      <c r="AC48" s="26"/>
    </row>
    <row r="49" spans="1:29" ht="90" x14ac:dyDescent="0.2">
      <c r="A49" s="22" t="s">
        <v>228</v>
      </c>
      <c r="B49" s="14" t="s">
        <v>198</v>
      </c>
      <c r="C49" s="277">
        <v>53.220999999999997</v>
      </c>
      <c r="D49" s="277">
        <f t="shared" si="22"/>
        <v>53.220999999999997</v>
      </c>
      <c r="E49" s="277">
        <f t="shared" si="23"/>
        <v>0.26961183999999999</v>
      </c>
      <c r="F49" s="277"/>
      <c r="G49" s="277">
        <v>8.0344529999999997E-2</v>
      </c>
      <c r="H49" s="277"/>
      <c r="I49" s="277">
        <v>6.3E-2</v>
      </c>
      <c r="J49" s="277"/>
      <c r="K49" s="277">
        <v>6.7967310000000003E-2</v>
      </c>
      <c r="L49" s="277">
        <v>53.220999999999997</v>
      </c>
      <c r="M49" s="277">
        <v>5.8299999999999998E-2</v>
      </c>
      <c r="N49" s="277">
        <f t="shared" si="24"/>
        <v>14.642344530000001</v>
      </c>
      <c r="O49" s="277">
        <v>8.0344529999999997E-2</v>
      </c>
      <c r="P49" s="277">
        <v>6.2E-2</v>
      </c>
      <c r="Q49" s="277">
        <v>6.8000000000000005E-2</v>
      </c>
      <c r="R49" s="277">
        <v>14.432</v>
      </c>
      <c r="S49" s="277">
        <f t="shared" si="25"/>
        <v>0</v>
      </c>
      <c r="T49" s="277"/>
      <c r="U49" s="277"/>
      <c r="V49" s="277">
        <v>0</v>
      </c>
      <c r="W49" s="277">
        <v>0</v>
      </c>
      <c r="X49" s="277">
        <f t="shared" si="26"/>
        <v>52.951388159999993</v>
      </c>
      <c r="Y49" s="277">
        <f t="shared" si="13"/>
        <v>-52.951388159999993</v>
      </c>
      <c r="Z49" s="277">
        <f t="shared" si="14"/>
        <v>-99.493410796490096</v>
      </c>
      <c r="AA49" s="26"/>
      <c r="AB49" s="26"/>
      <c r="AC49" s="26"/>
    </row>
    <row r="50" spans="1:29" ht="75" x14ac:dyDescent="0.2">
      <c r="A50" s="22" t="s">
        <v>229</v>
      </c>
      <c r="B50" s="28" t="s">
        <v>306</v>
      </c>
      <c r="C50" s="277">
        <v>30.248000000000001</v>
      </c>
      <c r="D50" s="277">
        <f t="shared" si="22"/>
        <v>30.248000000000001</v>
      </c>
      <c r="E50" s="277">
        <f t="shared" si="23"/>
        <v>0.50395997999999997</v>
      </c>
      <c r="F50" s="277"/>
      <c r="G50" s="277">
        <v>0.11527538</v>
      </c>
      <c r="H50" s="277"/>
      <c r="I50" s="277">
        <v>0.09</v>
      </c>
      <c r="J50" s="277"/>
      <c r="K50" s="277">
        <v>0.21468459999999998</v>
      </c>
      <c r="L50" s="277">
        <v>30.248000000000001</v>
      </c>
      <c r="M50" s="277">
        <v>8.4000000000000005E-2</v>
      </c>
      <c r="N50" s="277">
        <f t="shared" si="24"/>
        <v>0.50453143999999994</v>
      </c>
      <c r="O50" s="277">
        <v>0.11600000000000001</v>
      </c>
      <c r="P50" s="277">
        <v>8.9531440000000004E-2</v>
      </c>
      <c r="Q50" s="277">
        <v>0.215</v>
      </c>
      <c r="R50" s="277">
        <v>8.4000000000000005E-2</v>
      </c>
      <c r="S50" s="277">
        <f t="shared" si="25"/>
        <v>0</v>
      </c>
      <c r="T50" s="277"/>
      <c r="U50" s="277"/>
      <c r="V50" s="277">
        <v>0</v>
      </c>
      <c r="W50" s="277">
        <v>0</v>
      </c>
      <c r="X50" s="277">
        <f t="shared" si="26"/>
        <v>29.74404002</v>
      </c>
      <c r="Y50" s="277">
        <f t="shared" si="13"/>
        <v>-29.74404002</v>
      </c>
      <c r="Z50" s="277">
        <f t="shared" si="14"/>
        <v>-98.333906440095205</v>
      </c>
      <c r="AA50" s="26"/>
      <c r="AB50" s="26"/>
      <c r="AC50" s="26"/>
    </row>
    <row r="51" spans="1:29" ht="75" x14ac:dyDescent="0.2">
      <c r="A51" s="22" t="s">
        <v>230</v>
      </c>
      <c r="B51" s="21" t="s">
        <v>282</v>
      </c>
      <c r="C51" s="277">
        <v>24.898</v>
      </c>
      <c r="D51" s="277">
        <f t="shared" si="22"/>
        <v>24.898</v>
      </c>
      <c r="E51" s="277">
        <f t="shared" si="23"/>
        <v>10.9194058</v>
      </c>
      <c r="F51" s="277">
        <v>11.715</v>
      </c>
      <c r="G51" s="277">
        <v>7.8409607300000008</v>
      </c>
      <c r="H51" s="277"/>
      <c r="I51" s="277">
        <v>2.82</v>
      </c>
      <c r="J51" s="277">
        <v>13.183</v>
      </c>
      <c r="K51" s="277">
        <v>0.18644506999999999</v>
      </c>
      <c r="L51" s="277"/>
      <c r="M51" s="277">
        <v>7.1999999999999995E-2</v>
      </c>
      <c r="N51" s="277">
        <f t="shared" si="24"/>
        <v>2.7468542899999999</v>
      </c>
      <c r="O51" s="277">
        <v>2.4239999999999999</v>
      </c>
      <c r="P51" s="277">
        <v>7.7854290000000007E-2</v>
      </c>
      <c r="Q51" s="277">
        <v>0.17299999999999999</v>
      </c>
      <c r="R51" s="277">
        <v>7.1999999999999995E-2</v>
      </c>
      <c r="S51" s="277">
        <f t="shared" si="25"/>
        <v>0</v>
      </c>
      <c r="T51" s="277"/>
      <c r="U51" s="277"/>
      <c r="V51" s="277">
        <v>0</v>
      </c>
      <c r="W51" s="277">
        <v>0</v>
      </c>
      <c r="X51" s="277">
        <f t="shared" si="26"/>
        <v>13.9785942</v>
      </c>
      <c r="Y51" s="277">
        <f t="shared" si="13"/>
        <v>-13.9785942</v>
      </c>
      <c r="Z51" s="277">
        <f t="shared" si="14"/>
        <v>-56.14344204353764</v>
      </c>
      <c r="AA51" s="26"/>
      <c r="AB51" s="26"/>
      <c r="AC51" s="26"/>
    </row>
    <row r="52" spans="1:29" ht="45" x14ac:dyDescent="0.2">
      <c r="A52" s="22" t="s">
        <v>231</v>
      </c>
      <c r="B52" s="21" t="s">
        <v>283</v>
      </c>
      <c r="C52" s="277">
        <v>0.22800000000000001</v>
      </c>
      <c r="D52" s="277">
        <f t="shared" si="22"/>
        <v>0.22800000000000001</v>
      </c>
      <c r="E52" s="277">
        <f t="shared" si="23"/>
        <v>8.9887461975477395E-2</v>
      </c>
      <c r="F52" s="277"/>
      <c r="G52" s="277">
        <v>2.7311000000000002E-4</v>
      </c>
      <c r="H52" s="277"/>
      <c r="I52" s="277">
        <v>0</v>
      </c>
      <c r="J52" s="277">
        <v>0.22800000000000001</v>
      </c>
      <c r="K52" s="277">
        <v>8.9414351975477396E-2</v>
      </c>
      <c r="L52" s="277"/>
      <c r="M52" s="277">
        <v>2.0000000000000001E-4</v>
      </c>
      <c r="N52" s="277">
        <f t="shared" si="24"/>
        <v>6.8579999999999997E-4</v>
      </c>
      <c r="O52" s="277">
        <v>2.7311000000000002E-4</v>
      </c>
      <c r="P52" s="277">
        <v>2.1269E-4</v>
      </c>
      <c r="Q52" s="277">
        <v>0</v>
      </c>
      <c r="R52" s="277">
        <v>2.0000000000000001E-4</v>
      </c>
      <c r="S52" s="277">
        <f t="shared" si="25"/>
        <v>0</v>
      </c>
      <c r="T52" s="277"/>
      <c r="U52" s="277"/>
      <c r="V52" s="277">
        <v>0</v>
      </c>
      <c r="W52" s="277">
        <v>0</v>
      </c>
      <c r="X52" s="277">
        <f t="shared" si="26"/>
        <v>0.13811253802452261</v>
      </c>
      <c r="Y52" s="277">
        <f t="shared" si="13"/>
        <v>-0.13811253802452261</v>
      </c>
      <c r="Z52" s="277">
        <f t="shared" si="14"/>
        <v>-60.575674572159045</v>
      </c>
      <c r="AA52" s="26"/>
      <c r="AB52" s="26"/>
      <c r="AC52" s="26"/>
    </row>
    <row r="53" spans="1:29" ht="60" x14ac:dyDescent="0.2">
      <c r="A53" s="22" t="s">
        <v>232</v>
      </c>
      <c r="B53" s="21" t="s">
        <v>284</v>
      </c>
      <c r="C53" s="277">
        <v>0.252</v>
      </c>
      <c r="D53" s="277">
        <f t="shared" si="22"/>
        <v>0.252</v>
      </c>
      <c r="E53" s="277">
        <f t="shared" si="23"/>
        <v>6.5337062152256001E-2</v>
      </c>
      <c r="F53" s="277"/>
      <c r="G53" s="277">
        <v>2.3994999999999998E-4</v>
      </c>
      <c r="H53" s="277"/>
      <c r="I53" s="277">
        <v>0</v>
      </c>
      <c r="J53" s="277">
        <v>0.252</v>
      </c>
      <c r="K53" s="277">
        <v>6.4898112152255993E-2</v>
      </c>
      <c r="L53" s="277">
        <v>0</v>
      </c>
      <c r="M53" s="277">
        <v>1.9900000000000001E-4</v>
      </c>
      <c r="N53" s="277">
        <f t="shared" si="24"/>
        <v>6.5185999999999998E-4</v>
      </c>
      <c r="O53" s="301">
        <v>2.3994999999999998E-4</v>
      </c>
      <c r="P53" s="277">
        <v>2.1290999999999999E-4</v>
      </c>
      <c r="Q53" s="277">
        <v>0</v>
      </c>
      <c r="R53" s="277">
        <v>1.9900000000000001E-4</v>
      </c>
      <c r="S53" s="277">
        <f t="shared" si="25"/>
        <v>0</v>
      </c>
      <c r="T53" s="277"/>
      <c r="U53" s="277"/>
      <c r="V53" s="277">
        <v>0</v>
      </c>
      <c r="W53" s="277">
        <v>0</v>
      </c>
      <c r="X53" s="277">
        <f t="shared" si="26"/>
        <v>0.18666293784774401</v>
      </c>
      <c r="Y53" s="277">
        <f t="shared" si="13"/>
        <v>-0.18666293784774401</v>
      </c>
      <c r="Z53" s="277">
        <f t="shared" si="14"/>
        <v>-74.072594384025408</v>
      </c>
      <c r="AA53" s="26"/>
      <c r="AB53" s="26"/>
      <c r="AC53" s="26"/>
    </row>
    <row r="54" spans="1:29" ht="60" x14ac:dyDescent="0.2">
      <c r="A54" s="22" t="s">
        <v>233</v>
      </c>
      <c r="B54" s="25" t="s">
        <v>285</v>
      </c>
      <c r="C54" s="277">
        <v>0.66900000000000004</v>
      </c>
      <c r="D54" s="277">
        <f t="shared" si="22"/>
        <v>0.66900000000000004</v>
      </c>
      <c r="E54" s="277">
        <f t="shared" si="23"/>
        <v>0.148442675872267</v>
      </c>
      <c r="F54" s="277"/>
      <c r="G54" s="301">
        <v>3.4633999999999999E-4</v>
      </c>
      <c r="H54" s="277"/>
      <c r="I54" s="277">
        <v>0</v>
      </c>
      <c r="J54" s="277">
        <v>0.66900000000000004</v>
      </c>
      <c r="K54" s="277">
        <v>0.147897335872267</v>
      </c>
      <c r="L54" s="277"/>
      <c r="M54" s="277">
        <v>1.9900000000000001E-4</v>
      </c>
      <c r="N54" s="277">
        <f t="shared" si="24"/>
        <v>7.5803000000000003E-4</v>
      </c>
      <c r="O54" s="277">
        <v>3.4633999999999999E-4</v>
      </c>
      <c r="P54" s="277">
        <v>2.1269E-4</v>
      </c>
      <c r="Q54" s="277">
        <v>0</v>
      </c>
      <c r="R54" s="277">
        <v>1.9900000000000001E-4</v>
      </c>
      <c r="S54" s="277">
        <f t="shared" si="25"/>
        <v>0</v>
      </c>
      <c r="T54" s="277"/>
      <c r="U54" s="277"/>
      <c r="V54" s="277">
        <v>0</v>
      </c>
      <c r="W54" s="277">
        <v>0</v>
      </c>
      <c r="X54" s="277">
        <f t="shared" si="26"/>
        <v>0.52055732412773303</v>
      </c>
      <c r="Y54" s="277">
        <f t="shared" si="13"/>
        <v>-0.52055732412773303</v>
      </c>
      <c r="Z54" s="277">
        <f t="shared" si="14"/>
        <v>-77.811259211918241</v>
      </c>
      <c r="AA54" s="26"/>
      <c r="AB54" s="26"/>
      <c r="AC54" s="26"/>
    </row>
    <row r="55" spans="1:29" ht="45" x14ac:dyDescent="0.2">
      <c r="A55" s="275" t="s">
        <v>234</v>
      </c>
      <c r="B55" s="21" t="s">
        <v>177</v>
      </c>
      <c r="C55" s="26">
        <v>0.14499999999999999</v>
      </c>
      <c r="D55" s="26">
        <f t="shared" si="22"/>
        <v>0</v>
      </c>
      <c r="E55" s="26">
        <f t="shared" si="23"/>
        <v>0.14545470999999999</v>
      </c>
      <c r="F55" s="26"/>
      <c r="G55" s="26">
        <v>0.14545470999999999</v>
      </c>
      <c r="H55" s="26"/>
      <c r="I55" s="26"/>
      <c r="J55" s="26"/>
      <c r="K55" s="26"/>
      <c r="L55" s="26"/>
      <c r="M55" s="26"/>
      <c r="N55" s="26">
        <f t="shared" si="24"/>
        <v>0</v>
      </c>
      <c r="O55" s="26">
        <v>0</v>
      </c>
      <c r="P55" s="26"/>
      <c r="Q55" s="26"/>
      <c r="R55" s="26"/>
      <c r="S55" s="26">
        <f t="shared" si="25"/>
        <v>0</v>
      </c>
      <c r="T55" s="26"/>
      <c r="U55" s="26"/>
      <c r="V55" s="26"/>
      <c r="W55" s="26">
        <v>0</v>
      </c>
      <c r="X55" s="26">
        <f t="shared" si="26"/>
        <v>-4.5470999999999706E-4</v>
      </c>
      <c r="Y55" s="26">
        <f t="shared" si="13"/>
        <v>0.14545470999999999</v>
      </c>
      <c r="Z55" s="26" t="str">
        <f t="shared" si="14"/>
        <v xml:space="preserve"> </v>
      </c>
      <c r="AA55" s="26"/>
      <c r="AB55" s="26"/>
      <c r="AC55" s="26"/>
    </row>
    <row r="56" spans="1:29" ht="60" x14ac:dyDescent="0.2">
      <c r="A56" s="22" t="s">
        <v>235</v>
      </c>
      <c r="B56" s="25" t="s">
        <v>286</v>
      </c>
      <c r="C56" s="277">
        <v>0.42399999999999999</v>
      </c>
      <c r="D56" s="277">
        <f t="shared" si="22"/>
        <v>0.42399999999999999</v>
      </c>
      <c r="E56" s="277">
        <f t="shared" si="23"/>
        <v>3.6591040000000005E-2</v>
      </c>
      <c r="F56" s="277"/>
      <c r="G56" s="277">
        <v>3.6206330000000002E-2</v>
      </c>
      <c r="H56" s="277"/>
      <c r="I56" s="277">
        <v>0</v>
      </c>
      <c r="J56" s="277">
        <v>0.42399999999999999</v>
      </c>
      <c r="K56" s="277">
        <v>2.3771E-4</v>
      </c>
      <c r="L56" s="277">
        <v>0</v>
      </c>
      <c r="M56" s="277">
        <v>1.47E-4</v>
      </c>
      <c r="N56" s="277">
        <f t="shared" si="24"/>
        <v>0.35948620999999997</v>
      </c>
      <c r="O56" s="277">
        <v>2.7327999999999999E-4</v>
      </c>
      <c r="P56" s="277">
        <v>2.1292999999999998E-4</v>
      </c>
      <c r="Q56" s="277">
        <v>0</v>
      </c>
      <c r="R56" s="277">
        <v>0.35899999999999999</v>
      </c>
      <c r="S56" s="277">
        <f t="shared" si="25"/>
        <v>0.41199999999999998</v>
      </c>
      <c r="T56" s="277"/>
      <c r="U56" s="277"/>
      <c r="V56" s="277">
        <v>0</v>
      </c>
      <c r="W56" s="277">
        <v>0.41199999999999998</v>
      </c>
      <c r="X56" s="26">
        <f t="shared" si="26"/>
        <v>0.38740895999999997</v>
      </c>
      <c r="Y56" s="26">
        <f t="shared" si="13"/>
        <v>-0.38740895999999997</v>
      </c>
      <c r="Z56" s="26">
        <f t="shared" si="14"/>
        <v>-91.370037735849053</v>
      </c>
      <c r="AA56" s="26"/>
      <c r="AB56" s="26"/>
      <c r="AC56" s="26"/>
    </row>
    <row r="57" spans="1:29" ht="45" x14ac:dyDescent="0.2">
      <c r="A57" s="22" t="s">
        <v>236</v>
      </c>
      <c r="B57" s="21" t="s">
        <v>287</v>
      </c>
      <c r="C57" s="277">
        <v>0.34399999999999997</v>
      </c>
      <c r="D57" s="277">
        <f t="shared" si="22"/>
        <v>0.34399999999999997</v>
      </c>
      <c r="E57" s="277">
        <f t="shared" si="23"/>
        <v>0.11546092999999999</v>
      </c>
      <c r="F57" s="277"/>
      <c r="G57" s="301">
        <v>2.2342999999999999E-4</v>
      </c>
      <c r="H57" s="277">
        <v>0.34399999999999997</v>
      </c>
      <c r="I57" s="277">
        <v>3.6999999999999998E-2</v>
      </c>
      <c r="J57" s="277"/>
      <c r="K57" s="277">
        <v>2.375E-4</v>
      </c>
      <c r="L57" s="277"/>
      <c r="M57" s="277">
        <v>7.8E-2</v>
      </c>
      <c r="N57" s="277">
        <f t="shared" si="24"/>
        <v>4.902978999999999E-2</v>
      </c>
      <c r="O57" s="277">
        <v>4.8633429999999991E-2</v>
      </c>
      <c r="P57" s="277">
        <v>1.9636E-4</v>
      </c>
      <c r="Q57" s="277">
        <v>0</v>
      </c>
      <c r="R57" s="277">
        <v>2.0000000000000001E-4</v>
      </c>
      <c r="S57" s="277">
        <f t="shared" si="25"/>
        <v>0</v>
      </c>
      <c r="T57" s="277"/>
      <c r="U57" s="277"/>
      <c r="V57" s="277">
        <v>0</v>
      </c>
      <c r="W57" s="277">
        <v>0</v>
      </c>
      <c r="X57" s="26">
        <f t="shared" si="26"/>
        <v>0.22853906999999998</v>
      </c>
      <c r="Y57" s="26">
        <f t="shared" si="13"/>
        <v>-0.22853906999999998</v>
      </c>
      <c r="Z57" s="26">
        <f t="shared" si="14"/>
        <v>-66.435776162790688</v>
      </c>
      <c r="AA57" s="26"/>
      <c r="AB57" s="26"/>
      <c r="AC57" s="26"/>
    </row>
    <row r="58" spans="1:29" ht="45" x14ac:dyDescent="0.2">
      <c r="A58" s="22" t="s">
        <v>237</v>
      </c>
      <c r="B58" s="21" t="s">
        <v>292</v>
      </c>
      <c r="C58" s="277">
        <v>0.627</v>
      </c>
      <c r="D58" s="277">
        <f t="shared" si="22"/>
        <v>0.627</v>
      </c>
      <c r="E58" s="277">
        <f t="shared" si="23"/>
        <v>0.25670249000000001</v>
      </c>
      <c r="F58" s="277"/>
      <c r="G58" s="277">
        <v>2.7292000000000001E-4</v>
      </c>
      <c r="H58" s="277">
        <v>0.627</v>
      </c>
      <c r="I58" s="277">
        <v>6.8000000000000005E-2</v>
      </c>
      <c r="J58" s="277"/>
      <c r="K58" s="277">
        <v>4.2957E-4</v>
      </c>
      <c r="L58" s="277"/>
      <c r="M58" s="277">
        <v>0.188</v>
      </c>
      <c r="N58" s="277">
        <f t="shared" si="24"/>
        <v>6.8838209999999997E-2</v>
      </c>
      <c r="O58" s="277">
        <v>6.8362919999999994E-2</v>
      </c>
      <c r="P58" s="277">
        <v>2.7629E-4</v>
      </c>
      <c r="Q58" s="277">
        <v>0</v>
      </c>
      <c r="R58" s="277">
        <v>1.9900000000000001E-4</v>
      </c>
      <c r="S58" s="277">
        <f t="shared" si="25"/>
        <v>0</v>
      </c>
      <c r="T58" s="277"/>
      <c r="U58" s="277"/>
      <c r="V58" s="277">
        <v>0</v>
      </c>
      <c r="W58" s="277">
        <v>0</v>
      </c>
      <c r="X58" s="26">
        <f t="shared" si="26"/>
        <v>0.37029751</v>
      </c>
      <c r="Y58" s="26">
        <f t="shared" si="13"/>
        <v>-0.37029751</v>
      </c>
      <c r="Z58" s="26">
        <f t="shared" si="14"/>
        <v>-59.058614035087722</v>
      </c>
      <c r="AA58" s="26"/>
      <c r="AB58" s="26"/>
      <c r="AC58" s="26"/>
    </row>
    <row r="59" spans="1:29" ht="42" customHeight="1" x14ac:dyDescent="0.2">
      <c r="A59" s="22" t="s">
        <v>238</v>
      </c>
      <c r="B59" s="21" t="s">
        <v>165</v>
      </c>
      <c r="C59" s="277">
        <v>10.288</v>
      </c>
      <c r="D59" s="277">
        <f>F59+H59+J59+L59</f>
        <v>10.288</v>
      </c>
      <c r="E59" s="277">
        <f t="shared" si="23"/>
        <v>0.96191415999999996</v>
      </c>
      <c r="F59" s="277"/>
      <c r="G59" s="277"/>
      <c r="H59" s="277">
        <v>1.0289999999999999</v>
      </c>
      <c r="I59" s="277"/>
      <c r="J59" s="277"/>
      <c r="K59" s="277">
        <v>6.9141599999999999E-3</v>
      </c>
      <c r="L59" s="277">
        <v>9.2590000000000003</v>
      </c>
      <c r="M59" s="277">
        <v>0.95499999999999996</v>
      </c>
      <c r="N59" s="277">
        <f t="shared" si="24"/>
        <v>5.6120000000000001</v>
      </c>
      <c r="O59" s="277"/>
      <c r="P59" s="277"/>
      <c r="Q59" s="291">
        <v>7.0000000000000001E-3</v>
      </c>
      <c r="R59" s="277">
        <v>5.6050000000000004</v>
      </c>
      <c r="S59" s="277">
        <f t="shared" si="25"/>
        <v>0</v>
      </c>
      <c r="T59" s="277"/>
      <c r="U59" s="277"/>
      <c r="V59" s="277">
        <v>0</v>
      </c>
      <c r="W59" s="277"/>
      <c r="X59" s="26">
        <f t="shared" si="26"/>
        <v>9.3260858400000011</v>
      </c>
      <c r="Y59" s="26">
        <f t="shared" si="13"/>
        <v>-9.3260858400000011</v>
      </c>
      <c r="Z59" s="26">
        <f t="shared" si="14"/>
        <v>-90.650134525660974</v>
      </c>
      <c r="AA59" s="26"/>
      <c r="AB59" s="26"/>
      <c r="AC59" s="26"/>
    </row>
    <row r="60" spans="1:29" ht="45" x14ac:dyDescent="0.2">
      <c r="A60" s="22" t="s">
        <v>239</v>
      </c>
      <c r="B60" s="21" t="s">
        <v>153</v>
      </c>
      <c r="C60" s="277">
        <v>382.637</v>
      </c>
      <c r="D60" s="277">
        <f t="shared" si="22"/>
        <v>68.921999999999997</v>
      </c>
      <c r="E60" s="277">
        <f t="shared" si="23"/>
        <v>4.4342261999999995</v>
      </c>
      <c r="F60" s="277">
        <v>10.802</v>
      </c>
      <c r="G60" s="277">
        <v>0.116935</v>
      </c>
      <c r="H60" s="277"/>
      <c r="I60" s="277">
        <v>4.0380000000000003</v>
      </c>
      <c r="J60" s="277">
        <v>58.12</v>
      </c>
      <c r="K60" s="277">
        <v>0.15029119999999999</v>
      </c>
      <c r="L60" s="277">
        <v>0</v>
      </c>
      <c r="M60" s="277">
        <v>0.129</v>
      </c>
      <c r="N60" s="277">
        <f t="shared" si="24"/>
        <v>0.53386931000000004</v>
      </c>
      <c r="O60" s="277">
        <v>0.116935</v>
      </c>
      <c r="P60" s="277">
        <v>0.13793431</v>
      </c>
      <c r="Q60" s="277">
        <v>0.15</v>
      </c>
      <c r="R60" s="277">
        <v>0.129</v>
      </c>
      <c r="S60" s="277">
        <f t="shared" si="25"/>
        <v>0</v>
      </c>
      <c r="T60" s="277"/>
      <c r="U60" s="277"/>
      <c r="V60" s="277">
        <v>0</v>
      </c>
      <c r="W60" s="277">
        <v>0</v>
      </c>
      <c r="X60" s="26">
        <f t="shared" si="26"/>
        <v>378.20277379999999</v>
      </c>
      <c r="Y60" s="26">
        <f t="shared" si="13"/>
        <v>-64.487773799999999</v>
      </c>
      <c r="Z60" s="26">
        <f t="shared" si="14"/>
        <v>-93.566312353094801</v>
      </c>
      <c r="AA60" s="26"/>
      <c r="AB60" s="26"/>
      <c r="AC60" s="26"/>
    </row>
    <row r="61" spans="1:29" ht="57" customHeight="1" x14ac:dyDescent="0.2">
      <c r="A61" s="22" t="s">
        <v>240</v>
      </c>
      <c r="B61" s="21" t="s">
        <v>288</v>
      </c>
      <c r="C61" s="277">
        <v>104.74299999999999</v>
      </c>
      <c r="D61" s="277">
        <f t="shared" si="22"/>
        <v>104.74300000000001</v>
      </c>
      <c r="E61" s="277">
        <f t="shared" si="23"/>
        <v>76.11682553</v>
      </c>
      <c r="F61" s="277">
        <v>5.5</v>
      </c>
      <c r="G61" s="301">
        <v>5.7753160000000005E-2</v>
      </c>
      <c r="H61" s="277">
        <v>9.766</v>
      </c>
      <c r="I61" s="277">
        <v>4.5999999999999999E-2</v>
      </c>
      <c r="J61" s="277"/>
      <c r="K61" s="277">
        <v>5.5470723700000004</v>
      </c>
      <c r="L61" s="277">
        <v>89.477000000000004</v>
      </c>
      <c r="M61" s="277">
        <v>70.465999999999994</v>
      </c>
      <c r="N61" s="277">
        <f t="shared" si="24"/>
        <v>4.8463519100000001</v>
      </c>
      <c r="O61" s="277">
        <v>5.7935340000000002E-2</v>
      </c>
      <c r="P61" s="277">
        <v>4.5416569999999996E-2</v>
      </c>
      <c r="Q61" s="277">
        <v>4.7080000000000002</v>
      </c>
      <c r="R61" s="277">
        <v>3.5000000000000003E-2</v>
      </c>
      <c r="S61" s="277">
        <f t="shared" si="25"/>
        <v>0</v>
      </c>
      <c r="T61" s="277"/>
      <c r="U61" s="277"/>
      <c r="V61" s="277">
        <v>0</v>
      </c>
      <c r="W61" s="277"/>
      <c r="X61" s="26">
        <f t="shared" si="26"/>
        <v>28.626174469999995</v>
      </c>
      <c r="Y61" s="26">
        <f t="shared" si="13"/>
        <v>-28.626174470000009</v>
      </c>
      <c r="Z61" s="26">
        <f t="shared" si="14"/>
        <v>-27.329916529028196</v>
      </c>
      <c r="AA61" s="26"/>
      <c r="AB61" s="26"/>
      <c r="AC61" s="26"/>
    </row>
    <row r="62" spans="1:29" ht="45" x14ac:dyDescent="0.2">
      <c r="A62" s="22" t="s">
        <v>241</v>
      </c>
      <c r="B62" s="14" t="s">
        <v>289</v>
      </c>
      <c r="C62" s="26">
        <v>4.2329999999999997</v>
      </c>
      <c r="D62" s="26">
        <f t="shared" si="22"/>
        <v>0</v>
      </c>
      <c r="E62" s="26">
        <f t="shared" si="23"/>
        <v>0.14318099439999998</v>
      </c>
      <c r="F62" s="26"/>
      <c r="G62" s="26">
        <v>0.14318099439999998</v>
      </c>
      <c r="H62" s="26"/>
      <c r="I62" s="26"/>
      <c r="J62" s="26"/>
      <c r="K62" s="26"/>
      <c r="L62" s="26"/>
      <c r="M62" s="26"/>
      <c r="N62" s="26">
        <f t="shared" si="24"/>
        <v>0.12316318000000001</v>
      </c>
      <c r="O62" s="26">
        <v>0.12316318000000001</v>
      </c>
      <c r="P62" s="26"/>
      <c r="Q62" s="26"/>
      <c r="R62" s="26"/>
      <c r="S62" s="26">
        <f t="shared" si="25"/>
        <v>0.123</v>
      </c>
      <c r="T62" s="26">
        <v>0.123</v>
      </c>
      <c r="U62" s="26"/>
      <c r="V62" s="26"/>
      <c r="W62" s="26"/>
      <c r="X62" s="26">
        <f t="shared" si="26"/>
        <v>4.0898190055999999</v>
      </c>
      <c r="Y62" s="26">
        <f t="shared" si="13"/>
        <v>0.14318099439999998</v>
      </c>
      <c r="Z62" s="26" t="str">
        <f t="shared" si="14"/>
        <v xml:space="preserve"> </v>
      </c>
      <c r="AA62" s="26"/>
      <c r="AB62" s="26"/>
      <c r="AC62" s="26"/>
    </row>
    <row r="63" spans="1:29" ht="30" x14ac:dyDescent="0.2">
      <c r="A63" s="31">
        <v>3</v>
      </c>
      <c r="B63" s="30" t="s">
        <v>154</v>
      </c>
      <c r="C63" s="34">
        <v>17.616</v>
      </c>
      <c r="D63" s="34">
        <v>0.54700000000000004</v>
      </c>
      <c r="E63" s="34">
        <f>G63+I63+K63+M63</f>
        <v>0.75390000000000001</v>
      </c>
      <c r="F63" s="34"/>
      <c r="G63" s="34">
        <v>0.43</v>
      </c>
      <c r="H63" s="34"/>
      <c r="I63" s="34">
        <v>0.32300000000000001</v>
      </c>
      <c r="J63" s="34"/>
      <c r="K63" s="34">
        <v>8.9999999999999998E-4</v>
      </c>
      <c r="L63" s="34">
        <v>0.54700000000000004</v>
      </c>
      <c r="M63" s="34"/>
      <c r="N63" s="34">
        <f t="shared" si="24"/>
        <v>2E-3</v>
      </c>
      <c r="O63" s="34"/>
      <c r="P63" s="249"/>
      <c r="Q63" s="34">
        <v>2E-3</v>
      </c>
      <c r="R63" s="34"/>
      <c r="S63" s="34">
        <f t="shared" si="25"/>
        <v>2E-3</v>
      </c>
      <c r="T63" s="34"/>
      <c r="U63" s="34">
        <v>0</v>
      </c>
      <c r="V63" s="34">
        <v>2E-3</v>
      </c>
      <c r="W63" s="34"/>
      <c r="X63" s="34">
        <f t="shared" si="26"/>
        <v>16.862099999999998</v>
      </c>
      <c r="Y63" s="34">
        <f>E63-D63</f>
        <v>0.20689999999999997</v>
      </c>
      <c r="Z63" s="34">
        <f t="shared" si="14"/>
        <v>37.824497257769643</v>
      </c>
      <c r="AA63" s="34"/>
      <c r="AB63" s="34"/>
      <c r="AC63" s="34"/>
    </row>
    <row r="64" spans="1:29" ht="28.5" x14ac:dyDescent="0.2">
      <c r="A64" s="29"/>
      <c r="B64" s="20" t="s">
        <v>23</v>
      </c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</row>
    <row r="65" spans="1:29" x14ac:dyDescent="0.2">
      <c r="A65" s="271"/>
      <c r="C65" s="271"/>
      <c r="D65" s="77"/>
      <c r="F65" s="271"/>
      <c r="H65" s="271"/>
      <c r="I65" s="271"/>
      <c r="J65" s="271"/>
      <c r="K65" s="271"/>
      <c r="L65" s="271"/>
      <c r="M65" s="271"/>
      <c r="N65" s="271"/>
      <c r="O65" s="271"/>
      <c r="P65" s="271"/>
      <c r="Q65" s="271"/>
      <c r="R65" s="271"/>
      <c r="S65" s="271"/>
      <c r="T65" s="271"/>
      <c r="U65" s="271"/>
      <c r="V65" s="271"/>
      <c r="W65" s="271"/>
      <c r="X65" s="271"/>
      <c r="Y65" s="271"/>
      <c r="Z65" s="271"/>
      <c r="AA65" s="271"/>
      <c r="AB65" s="81"/>
      <c r="AC65" s="81"/>
    </row>
    <row r="66" spans="1:29" x14ac:dyDescent="0.2">
      <c r="A66" s="147"/>
      <c r="D66" s="77"/>
      <c r="F66" s="81"/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1"/>
      <c r="Z66" s="81"/>
      <c r="AA66" s="81"/>
      <c r="AB66" s="81"/>
      <c r="AC66" s="81"/>
    </row>
    <row r="67" spans="1:29" x14ac:dyDescent="0.2">
      <c r="A67" s="147"/>
      <c r="B67" s="71" t="s">
        <v>192</v>
      </c>
      <c r="D67" s="77"/>
      <c r="F67" s="81"/>
      <c r="H67" s="81"/>
      <c r="I67" s="81"/>
      <c r="J67" s="81"/>
      <c r="K67" s="81"/>
      <c r="L67" s="81"/>
      <c r="M67" s="81"/>
      <c r="N67" s="81"/>
      <c r="O67" s="81"/>
      <c r="P67" s="81"/>
      <c r="Q67" s="81"/>
      <c r="R67" s="81"/>
      <c r="S67" s="81"/>
      <c r="T67" s="81"/>
      <c r="U67" s="81"/>
      <c r="V67" s="81"/>
      <c r="W67" s="81"/>
      <c r="X67" s="81"/>
      <c r="Y67" s="81"/>
      <c r="Z67" s="81"/>
      <c r="AA67" s="81"/>
      <c r="AB67" s="81"/>
      <c r="AC67" s="81"/>
    </row>
    <row r="68" spans="1:29" x14ac:dyDescent="0.2">
      <c r="A68" s="147"/>
      <c r="B68" s="71" t="s">
        <v>193</v>
      </c>
      <c r="D68" s="77"/>
      <c r="F68" s="81"/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1"/>
      <c r="Z68" s="81"/>
      <c r="AA68" s="81"/>
      <c r="AB68" s="81"/>
      <c r="AC68" s="81"/>
    </row>
    <row r="69" spans="1:29" x14ac:dyDescent="0.2">
      <c r="A69" s="147"/>
      <c r="B69" s="71" t="s">
        <v>194</v>
      </c>
      <c r="D69" s="77"/>
      <c r="F69" s="81"/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81"/>
      <c r="X69" s="81"/>
      <c r="Y69" s="81"/>
      <c r="Z69" s="81"/>
      <c r="AA69" s="81"/>
      <c r="AB69" s="81"/>
      <c r="AC69" s="81"/>
    </row>
    <row r="70" spans="1:29" x14ac:dyDescent="0.2">
      <c r="A70" s="147"/>
      <c r="B70" s="71"/>
      <c r="D70" s="77"/>
      <c r="F70" s="81"/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81"/>
      <c r="X70" s="81"/>
      <c r="Y70" s="81"/>
      <c r="Z70" s="81"/>
      <c r="AA70" s="81"/>
      <c r="AB70" s="81"/>
      <c r="AC70" s="81"/>
    </row>
    <row r="71" spans="1:29" x14ac:dyDescent="0.2">
      <c r="A71" s="81"/>
      <c r="D71" s="77"/>
      <c r="F71" s="81"/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81"/>
      <c r="X71" s="81"/>
      <c r="Y71" s="81"/>
      <c r="Z71" s="81"/>
      <c r="AA71" s="81"/>
      <c r="AB71" s="81"/>
      <c r="AC71" s="81"/>
    </row>
    <row r="72" spans="1:29" ht="27.6" customHeight="1" x14ac:dyDescent="0.2">
      <c r="A72" s="89"/>
      <c r="B72" s="313" t="s">
        <v>319</v>
      </c>
      <c r="C72" s="313"/>
      <c r="D72" s="313"/>
      <c r="E72" s="313"/>
      <c r="F72" s="313"/>
      <c r="G72" s="313"/>
      <c r="H72" s="313"/>
      <c r="I72" s="89"/>
      <c r="J72" s="89"/>
      <c r="K72" s="314" t="s">
        <v>320</v>
      </c>
      <c r="L72" s="314"/>
      <c r="M72" s="314"/>
      <c r="N72" s="314"/>
      <c r="O72" s="314"/>
      <c r="P72" s="314"/>
      <c r="Q72" s="314"/>
      <c r="R72" s="314"/>
      <c r="S72" s="314"/>
      <c r="T72" s="314"/>
      <c r="U72" s="81"/>
      <c r="V72" s="81"/>
      <c r="W72" s="81"/>
      <c r="X72" s="81"/>
      <c r="Y72" s="81"/>
      <c r="Z72" s="81"/>
      <c r="AA72" s="81"/>
      <c r="AB72" s="81"/>
      <c r="AC72" s="81"/>
    </row>
    <row r="73" spans="1:29" s="164" customFormat="1" ht="27.6" customHeight="1" x14ac:dyDescent="0.2">
      <c r="A73" s="162"/>
      <c r="B73" s="161"/>
      <c r="C73" s="161"/>
      <c r="D73" s="161"/>
      <c r="E73" s="161"/>
      <c r="F73" s="161"/>
      <c r="G73" s="161"/>
      <c r="H73" s="161"/>
      <c r="I73" s="162"/>
      <c r="J73" s="162"/>
      <c r="K73" s="162"/>
      <c r="L73" s="162"/>
      <c r="M73" s="162"/>
      <c r="N73" s="162"/>
      <c r="O73" s="162"/>
      <c r="P73" s="162"/>
      <c r="Q73" s="162"/>
      <c r="R73" s="162"/>
      <c r="S73" s="162"/>
      <c r="T73" s="162"/>
    </row>
    <row r="74" spans="1:29" ht="18.75" x14ac:dyDescent="0.2">
      <c r="A74" s="89"/>
      <c r="B74" s="91"/>
      <c r="C74" s="92"/>
      <c r="D74" s="92"/>
      <c r="E74" s="92"/>
      <c r="F74" s="92"/>
      <c r="G74" s="92"/>
      <c r="H74" s="93"/>
      <c r="I74" s="89"/>
      <c r="J74" s="89"/>
      <c r="K74" s="89"/>
      <c r="L74" s="89"/>
      <c r="M74" s="89"/>
      <c r="N74" s="89"/>
      <c r="O74" s="89"/>
      <c r="P74" s="94"/>
      <c r="Q74" s="94"/>
      <c r="R74" s="94"/>
      <c r="S74" s="94"/>
      <c r="T74" s="95"/>
      <c r="V74" s="76"/>
      <c r="W74" s="76"/>
      <c r="X74" s="76"/>
      <c r="Y74" s="76"/>
      <c r="Z74" s="76"/>
      <c r="AA74" s="76"/>
      <c r="AB74" s="76"/>
      <c r="AC74" s="76"/>
    </row>
    <row r="75" spans="1:29" ht="18.75" x14ac:dyDescent="0.2">
      <c r="A75" s="89"/>
      <c r="B75" s="315" t="s">
        <v>308</v>
      </c>
      <c r="C75" s="315"/>
      <c r="D75" s="315"/>
      <c r="E75" s="315"/>
      <c r="F75" s="315"/>
      <c r="G75" s="315"/>
      <c r="H75" s="315"/>
      <c r="I75" s="89"/>
      <c r="J75" s="89"/>
      <c r="K75" s="314" t="s">
        <v>309</v>
      </c>
      <c r="L75" s="314"/>
      <c r="M75" s="314"/>
      <c r="N75" s="314"/>
      <c r="O75" s="314"/>
      <c r="P75" s="314"/>
      <c r="Q75" s="314"/>
      <c r="R75" s="314"/>
      <c r="S75" s="314"/>
      <c r="T75" s="314"/>
    </row>
    <row r="76" spans="1:29" ht="18.75" x14ac:dyDescent="0.2">
      <c r="A76" s="89"/>
      <c r="B76" s="97"/>
      <c r="C76" s="144"/>
      <c r="D76" s="98"/>
      <c r="E76" s="99"/>
      <c r="F76" s="89"/>
      <c r="G76" s="100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</row>
    <row r="77" spans="1:29" ht="18.75" x14ac:dyDescent="0.2">
      <c r="A77" s="89"/>
      <c r="B77" s="97"/>
      <c r="C77" s="144"/>
      <c r="D77" s="98"/>
      <c r="E77" s="99"/>
      <c r="F77" s="89"/>
      <c r="G77" s="100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</row>
    <row r="78" spans="1:29" ht="18.75" x14ac:dyDescent="0.2">
      <c r="A78" s="89"/>
      <c r="B78" s="97"/>
      <c r="C78" s="144"/>
      <c r="D78" s="98"/>
      <c r="E78" s="99"/>
      <c r="F78" s="89"/>
      <c r="G78" s="100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66"/>
    </row>
    <row r="79" spans="1:29" ht="18.75" x14ac:dyDescent="0.2">
      <c r="A79" s="89"/>
      <c r="B79" s="97"/>
      <c r="C79" s="144"/>
      <c r="D79" s="98"/>
      <c r="E79" s="99"/>
      <c r="F79" s="89"/>
      <c r="G79" s="100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66"/>
    </row>
    <row r="80" spans="1:29" ht="18.75" x14ac:dyDescent="0.2">
      <c r="A80" s="89"/>
      <c r="B80" s="97"/>
      <c r="C80" s="144"/>
      <c r="D80" s="98"/>
      <c r="E80" s="99"/>
      <c r="F80" s="89"/>
      <c r="G80" s="100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66"/>
    </row>
  </sheetData>
  <autoFilter ref="A15:AC64"/>
  <mergeCells count="29">
    <mergeCell ref="B72:H72"/>
    <mergeCell ref="K72:T72"/>
    <mergeCell ref="B75:H75"/>
    <mergeCell ref="K75:T75"/>
    <mergeCell ref="D13:E13"/>
    <mergeCell ref="H13:I13"/>
    <mergeCell ref="C12:C14"/>
    <mergeCell ref="A10:Y10"/>
    <mergeCell ref="A12:A14"/>
    <mergeCell ref="F13:G13"/>
    <mergeCell ref="N12:R13"/>
    <mergeCell ref="S12:W13"/>
    <mergeCell ref="X12:X14"/>
    <mergeCell ref="L13:M13"/>
    <mergeCell ref="D12:M12"/>
    <mergeCell ref="J13:K13"/>
    <mergeCell ref="B12:B14"/>
    <mergeCell ref="Z13:Z14"/>
    <mergeCell ref="AC12:AC14"/>
    <mergeCell ref="AA13:AB13"/>
    <mergeCell ref="Y12:AB12"/>
    <mergeCell ref="Y13:Y14"/>
    <mergeCell ref="AB1:AC1"/>
    <mergeCell ref="Z2:AC2"/>
    <mergeCell ref="AA9:AC9"/>
    <mergeCell ref="Y7:AC7"/>
    <mergeCell ref="V5:AC5"/>
    <mergeCell ref="AB4:AC4"/>
    <mergeCell ref="V6:AC6"/>
  </mergeCells>
  <dataValidations count="1">
    <dataValidation allowBlank="1" showInputMessage="1" showErrorMessage="1" errorTitle="ОШИБКА ВВОДА" error="Необходимо вводить только числа с использованием точки в качестве десятичного разделителя" sqref="C27:AC28 C25:AC25"/>
  </dataValidations>
  <pageMargins left="0.19685039370078741" right="0.23622047244094491" top="0.82677165354330717" bottom="0.39370078740157483" header="0.19685039370078741" footer="0.19685039370078741"/>
  <pageSetup paperSize="8" scale="65" fitToHeight="5" orientation="landscape" r:id="rId1"/>
  <headerFooter differentFirst="1" alignWithMargins="0">
    <oddHeader>&amp;C
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AN71"/>
  <sheetViews>
    <sheetView zoomScale="80" zoomScaleNormal="80" workbookViewId="0">
      <pane ySplit="13" topLeftCell="A65" activePane="bottomLeft" state="frozen"/>
      <selection pane="bottomLeft"/>
    </sheetView>
  </sheetViews>
  <sheetFormatPr defaultColWidth="8.85546875" defaultRowHeight="15" x14ac:dyDescent="0.2"/>
  <cols>
    <col min="1" max="1" width="6.85546875" style="253" bestFit="1" customWidth="1"/>
    <col min="2" max="2" width="34.42578125" style="253" customWidth="1"/>
    <col min="3" max="3" width="12.5703125" style="233" customWidth="1"/>
    <col min="4" max="4" width="11.42578125" style="233" customWidth="1"/>
    <col min="5" max="5" width="9.7109375" style="233" customWidth="1"/>
    <col min="6" max="6" width="13" style="233" customWidth="1"/>
    <col min="7" max="7" width="9.140625" style="233" customWidth="1"/>
    <col min="8" max="8" width="10.42578125" style="32" customWidth="1"/>
    <col min="9" max="10" width="8.7109375" style="233" customWidth="1"/>
    <col min="11" max="11" width="10.42578125" style="233" customWidth="1"/>
    <col min="12" max="12" width="8.85546875" style="233" customWidth="1"/>
    <col min="13" max="15" width="12.5703125" style="233" customWidth="1"/>
    <col min="16" max="16" width="13" style="233" customWidth="1"/>
    <col min="17" max="17" width="12.5703125" style="233" customWidth="1"/>
    <col min="18" max="18" width="13.42578125" style="32" hidden="1" customWidth="1"/>
    <col min="19" max="19" width="11.7109375" style="79" hidden="1" customWidth="1"/>
    <col min="20" max="20" width="11.7109375" style="11" hidden="1" customWidth="1"/>
    <col min="21" max="21" width="10.7109375" style="11" hidden="1" customWidth="1"/>
    <col min="22" max="22" width="13.42578125" style="237" customWidth="1"/>
    <col min="23" max="26" width="10.7109375" style="237" customWidth="1"/>
    <col min="27" max="30" width="8.85546875" style="233" customWidth="1"/>
    <col min="31" max="31" width="7" style="265" customWidth="1"/>
    <col min="32" max="32" width="6.7109375" style="233" customWidth="1"/>
    <col min="33" max="33" width="8.85546875" style="233" customWidth="1"/>
    <col min="34" max="35" width="6.7109375" style="233" customWidth="1"/>
    <col min="36" max="36" width="12.140625" style="253" customWidth="1"/>
    <col min="37" max="37" width="15.42578125" style="253" customWidth="1"/>
    <col min="38" max="38" width="20.7109375" style="253" customWidth="1"/>
    <col min="39" max="39" width="13" style="253" customWidth="1"/>
    <col min="40" max="40" width="12.140625" style="253" customWidth="1"/>
    <col min="41" max="16384" width="8.85546875" style="253"/>
  </cols>
  <sheetData>
    <row r="1" spans="1:40" x14ac:dyDescent="0.2">
      <c r="AC1" s="236"/>
      <c r="AD1" s="236"/>
      <c r="AE1" s="256"/>
      <c r="AF1" s="236"/>
      <c r="AG1" s="236"/>
      <c r="AH1" s="236"/>
      <c r="AI1" s="236"/>
      <c r="AJ1" s="317" t="s">
        <v>169</v>
      </c>
      <c r="AK1" s="317"/>
      <c r="AL1" s="317"/>
      <c r="AM1" s="317"/>
      <c r="AN1" s="317"/>
    </row>
    <row r="2" spans="1:40" x14ac:dyDescent="0.2">
      <c r="AC2" s="236"/>
      <c r="AD2" s="236"/>
      <c r="AE2" s="256"/>
      <c r="AF2" s="236"/>
      <c r="AG2" s="236"/>
      <c r="AH2" s="236"/>
      <c r="AI2" s="257"/>
      <c r="AJ2" s="257"/>
      <c r="AK2" s="318" t="s">
        <v>191</v>
      </c>
      <c r="AL2" s="318"/>
      <c r="AM2" s="318"/>
      <c r="AN2" s="318"/>
    </row>
    <row r="3" spans="1:40" x14ac:dyDescent="0.2">
      <c r="S3" s="82"/>
      <c r="T3" s="82"/>
      <c r="U3" s="82"/>
      <c r="AC3" s="236"/>
      <c r="AD3" s="236"/>
      <c r="AE3" s="256"/>
      <c r="AF3" s="236"/>
      <c r="AG3" s="236"/>
      <c r="AH3" s="236"/>
      <c r="AI3" s="257"/>
      <c r="AJ3" s="257"/>
      <c r="AK3" s="258"/>
      <c r="AL3" s="258"/>
      <c r="AM3" s="258"/>
      <c r="AN3" s="258"/>
    </row>
    <row r="4" spans="1:40" ht="18.75" x14ac:dyDescent="0.2">
      <c r="A4" s="12"/>
      <c r="B4" s="40"/>
      <c r="C4" s="12"/>
      <c r="D4" s="12"/>
      <c r="E4" s="12"/>
      <c r="F4" s="12"/>
      <c r="G4" s="12"/>
      <c r="H4" s="17"/>
      <c r="I4" s="12"/>
      <c r="J4" s="12"/>
      <c r="K4" s="12"/>
      <c r="L4" s="12"/>
      <c r="M4" s="12"/>
      <c r="N4" s="12"/>
      <c r="O4" s="12"/>
      <c r="P4" s="12"/>
      <c r="Q4" s="12"/>
      <c r="R4" s="17"/>
      <c r="S4" s="12"/>
      <c r="T4" s="12"/>
      <c r="U4" s="12"/>
      <c r="V4" s="77"/>
      <c r="W4" s="77"/>
      <c r="X4" s="77"/>
      <c r="Y4" s="77"/>
      <c r="Z4" s="77"/>
      <c r="AA4" s="12"/>
      <c r="AB4" s="12"/>
      <c r="AC4" s="259"/>
      <c r="AD4" s="259"/>
      <c r="AE4" s="260"/>
      <c r="AF4" s="259"/>
      <c r="AG4" s="259"/>
      <c r="AH4" s="261"/>
      <c r="AI4" s="316" t="s">
        <v>172</v>
      </c>
      <c r="AJ4" s="316"/>
      <c r="AK4" s="316"/>
      <c r="AL4" s="316"/>
      <c r="AM4" s="316"/>
      <c r="AN4" s="316"/>
    </row>
    <row r="5" spans="1:40" ht="17.850000000000001" customHeight="1" x14ac:dyDescent="0.2">
      <c r="A5" s="12"/>
      <c r="B5" s="40"/>
      <c r="C5" s="12"/>
      <c r="D5" s="12"/>
      <c r="E5" s="12"/>
      <c r="F5" s="12"/>
      <c r="G5" s="12"/>
      <c r="H5" s="17"/>
      <c r="I5" s="12"/>
      <c r="J5" s="12"/>
      <c r="K5" s="12"/>
      <c r="L5" s="12"/>
      <c r="M5" s="12"/>
      <c r="N5" s="12"/>
      <c r="O5" s="12"/>
      <c r="P5" s="12"/>
      <c r="Q5" s="12"/>
      <c r="R5" s="17"/>
      <c r="S5" s="12"/>
      <c r="T5" s="12"/>
      <c r="U5" s="12"/>
      <c r="V5" s="77"/>
      <c r="W5" s="77"/>
      <c r="X5" s="77"/>
      <c r="Y5" s="77"/>
      <c r="Z5" s="253"/>
      <c r="AA5" s="238"/>
      <c r="AB5" s="238"/>
      <c r="AC5" s="308" t="s">
        <v>314</v>
      </c>
      <c r="AD5" s="308"/>
      <c r="AE5" s="308"/>
      <c r="AF5" s="308"/>
      <c r="AG5" s="308"/>
      <c r="AH5" s="308"/>
      <c r="AI5" s="308"/>
      <c r="AJ5" s="308"/>
      <c r="AK5" s="308"/>
      <c r="AL5" s="308"/>
      <c r="AM5" s="308"/>
      <c r="AN5" s="308"/>
    </row>
    <row r="6" spans="1:40" ht="18.75" x14ac:dyDescent="0.2">
      <c r="A6" s="12"/>
      <c r="B6" s="40"/>
      <c r="C6" s="12"/>
      <c r="D6" s="12"/>
      <c r="E6" s="12"/>
      <c r="F6" s="12"/>
      <c r="G6" s="12"/>
      <c r="H6" s="17"/>
      <c r="I6" s="12"/>
      <c r="J6" s="12"/>
      <c r="K6" s="12"/>
      <c r="L6" s="12"/>
      <c r="M6" s="12"/>
      <c r="N6" s="12"/>
      <c r="O6" s="12"/>
      <c r="P6" s="12"/>
      <c r="Q6" s="12"/>
      <c r="R6" s="17"/>
      <c r="S6" s="12"/>
      <c r="T6" s="12"/>
      <c r="U6" s="12"/>
      <c r="V6" s="77"/>
      <c r="W6" s="77"/>
      <c r="X6" s="77"/>
      <c r="Y6" s="77"/>
      <c r="Z6" s="253"/>
      <c r="AA6" s="238"/>
      <c r="AB6" s="238"/>
      <c r="AC6" s="308"/>
      <c r="AD6" s="308"/>
      <c r="AE6" s="308"/>
      <c r="AF6" s="308"/>
      <c r="AG6" s="308"/>
      <c r="AH6" s="308"/>
      <c r="AI6" s="308"/>
      <c r="AJ6" s="308"/>
      <c r="AK6" s="308"/>
      <c r="AL6" s="308"/>
      <c r="AM6" s="308"/>
      <c r="AN6" s="308"/>
    </row>
    <row r="7" spans="1:40" ht="42" customHeight="1" x14ac:dyDescent="0.2">
      <c r="A7" s="12"/>
      <c r="B7" s="40"/>
      <c r="C7" s="12"/>
      <c r="D7" s="12"/>
      <c r="E7" s="12"/>
      <c r="F7" s="12"/>
      <c r="G7" s="12"/>
      <c r="H7" s="17"/>
      <c r="I7" s="12"/>
      <c r="J7" s="12"/>
      <c r="K7" s="12"/>
      <c r="L7" s="12"/>
      <c r="M7" s="12"/>
      <c r="N7" s="12"/>
      <c r="O7" s="12"/>
      <c r="P7" s="12"/>
      <c r="Q7" s="12"/>
      <c r="R7" s="17"/>
      <c r="S7" s="12"/>
      <c r="T7" s="12"/>
      <c r="U7" s="12"/>
      <c r="V7" s="77"/>
      <c r="W7" s="77"/>
      <c r="X7" s="77"/>
      <c r="Y7" s="77"/>
      <c r="Z7" s="85"/>
      <c r="AA7" s="235"/>
      <c r="AB7" s="235"/>
      <c r="AC7" s="234"/>
      <c r="AD7" s="234"/>
      <c r="AE7" s="262"/>
      <c r="AF7" s="307" t="s">
        <v>311</v>
      </c>
      <c r="AG7" s="307"/>
      <c r="AH7" s="307"/>
      <c r="AI7" s="307"/>
      <c r="AJ7" s="307"/>
      <c r="AK7" s="307"/>
      <c r="AL7" s="307"/>
      <c r="AM7" s="307"/>
      <c r="AN7" s="307"/>
    </row>
    <row r="8" spans="1:40" ht="18.75" x14ac:dyDescent="0.2">
      <c r="Z8" s="187"/>
      <c r="AA8" s="263"/>
      <c r="AB8" s="263"/>
      <c r="AC8" s="261"/>
      <c r="AD8" s="261"/>
      <c r="AE8" s="264"/>
      <c r="AF8" s="261"/>
      <c r="AG8" s="261"/>
      <c r="AH8" s="261"/>
      <c r="AI8" s="316" t="s">
        <v>322</v>
      </c>
      <c r="AJ8" s="316"/>
      <c r="AK8" s="316"/>
      <c r="AL8" s="316"/>
      <c r="AM8" s="316"/>
      <c r="AN8" s="316"/>
    </row>
    <row r="9" spans="1:40" ht="27" x14ac:dyDescent="0.2">
      <c r="A9" s="319" t="s">
        <v>312</v>
      </c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319"/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C9" s="319"/>
      <c r="AD9" s="319"/>
      <c r="AE9" s="319"/>
      <c r="AF9" s="319"/>
      <c r="AG9" s="319"/>
      <c r="AH9" s="319"/>
    </row>
    <row r="10" spans="1:40" ht="28.35" customHeight="1" x14ac:dyDescent="0.2">
      <c r="F10" s="254"/>
      <c r="G10" s="254"/>
      <c r="H10" s="149"/>
      <c r="I10" s="254"/>
      <c r="J10" s="254"/>
      <c r="K10" s="254"/>
      <c r="L10" s="254"/>
      <c r="M10" s="254"/>
      <c r="N10" s="254"/>
      <c r="O10" s="254"/>
      <c r="P10" s="254"/>
      <c r="Q10" s="254"/>
      <c r="R10" s="149"/>
      <c r="S10" s="42"/>
      <c r="T10" s="42"/>
      <c r="U10" s="42"/>
      <c r="V10" s="83"/>
      <c r="W10" s="83"/>
      <c r="X10" s="83"/>
      <c r="Y10" s="83"/>
      <c r="Z10" s="83"/>
      <c r="AA10" s="254"/>
      <c r="AB10" s="254"/>
      <c r="AC10" s="254"/>
      <c r="AK10" s="266"/>
      <c r="AL10" s="266"/>
      <c r="AM10" s="266"/>
      <c r="AN10" s="266"/>
    </row>
    <row r="11" spans="1:40" ht="36.4" customHeight="1" x14ac:dyDescent="0.2">
      <c r="A11" s="320" t="s">
        <v>0</v>
      </c>
      <c r="B11" s="320" t="s">
        <v>244</v>
      </c>
      <c r="C11" s="320" t="s">
        <v>280</v>
      </c>
      <c r="D11" s="320"/>
      <c r="E11" s="320"/>
      <c r="F11" s="320"/>
      <c r="G11" s="320"/>
      <c r="H11" s="320" t="s">
        <v>281</v>
      </c>
      <c r="I11" s="320"/>
      <c r="J11" s="320"/>
      <c r="K11" s="320"/>
      <c r="L11" s="320"/>
      <c r="M11" s="320" t="s">
        <v>325</v>
      </c>
      <c r="N11" s="320"/>
      <c r="O11" s="320"/>
      <c r="P11" s="320"/>
      <c r="Q11" s="320"/>
      <c r="R11" s="320" t="s">
        <v>279</v>
      </c>
      <c r="S11" s="320"/>
      <c r="T11" s="320"/>
      <c r="U11" s="320"/>
      <c r="V11" s="320"/>
      <c r="W11" s="320"/>
      <c r="X11" s="320"/>
      <c r="Y11" s="320"/>
      <c r="Z11" s="320"/>
      <c r="AA11" s="320" t="s">
        <v>51</v>
      </c>
      <c r="AB11" s="320"/>
      <c r="AC11" s="320"/>
      <c r="AD11" s="320"/>
      <c r="AE11" s="320"/>
      <c r="AF11" s="320"/>
      <c r="AG11" s="320"/>
      <c r="AH11" s="320"/>
      <c r="AI11" s="320"/>
      <c r="AJ11" s="320"/>
      <c r="AK11" s="320"/>
      <c r="AL11" s="320"/>
      <c r="AM11" s="320"/>
      <c r="AN11" s="320"/>
    </row>
    <row r="12" spans="1:40" ht="57.6" customHeight="1" x14ac:dyDescent="0.2">
      <c r="A12" s="320"/>
      <c r="B12" s="320"/>
      <c r="C12" s="320"/>
      <c r="D12" s="320"/>
      <c r="E12" s="320"/>
      <c r="F12" s="320"/>
      <c r="G12" s="320"/>
      <c r="H12" s="320"/>
      <c r="I12" s="320"/>
      <c r="J12" s="320"/>
      <c r="K12" s="320"/>
      <c r="L12" s="320"/>
      <c r="M12" s="320"/>
      <c r="N12" s="320"/>
      <c r="O12" s="320"/>
      <c r="P12" s="320"/>
      <c r="Q12" s="320"/>
      <c r="R12" s="320"/>
      <c r="S12" s="320"/>
      <c r="T12" s="320"/>
      <c r="U12" s="320"/>
      <c r="V12" s="320"/>
      <c r="W12" s="320"/>
      <c r="X12" s="320"/>
      <c r="Y12" s="320"/>
      <c r="Z12" s="320"/>
      <c r="AA12" s="320" t="s">
        <v>50</v>
      </c>
      <c r="AB12" s="320"/>
      <c r="AC12" s="320"/>
      <c r="AD12" s="320"/>
      <c r="AE12" s="320" t="s">
        <v>49</v>
      </c>
      <c r="AF12" s="320"/>
      <c r="AG12" s="320"/>
      <c r="AH12" s="320"/>
      <c r="AI12" s="320" t="s">
        <v>48</v>
      </c>
      <c r="AJ12" s="320"/>
      <c r="AK12" s="320"/>
      <c r="AL12" s="320"/>
      <c r="AM12" s="320"/>
      <c r="AN12" s="320" t="s">
        <v>47</v>
      </c>
    </row>
    <row r="13" spans="1:40" ht="120.95" customHeight="1" x14ac:dyDescent="0.2">
      <c r="A13" s="320"/>
      <c r="B13" s="320"/>
      <c r="C13" s="282" t="s">
        <v>2</v>
      </c>
      <c r="D13" s="282" t="s">
        <v>46</v>
      </c>
      <c r="E13" s="282" t="s">
        <v>45</v>
      </c>
      <c r="F13" s="282" t="s">
        <v>44</v>
      </c>
      <c r="G13" s="282" t="s">
        <v>43</v>
      </c>
      <c r="H13" s="281" t="s">
        <v>307</v>
      </c>
      <c r="I13" s="282" t="s">
        <v>46</v>
      </c>
      <c r="J13" s="282" t="s">
        <v>45</v>
      </c>
      <c r="K13" s="282" t="s">
        <v>44</v>
      </c>
      <c r="L13" s="282" t="s">
        <v>43</v>
      </c>
      <c r="M13" s="282" t="s">
        <v>2</v>
      </c>
      <c r="N13" s="282" t="s">
        <v>46</v>
      </c>
      <c r="O13" s="282" t="s">
        <v>45</v>
      </c>
      <c r="P13" s="282" t="s">
        <v>44</v>
      </c>
      <c r="Q13" s="282" t="s">
        <v>43</v>
      </c>
      <c r="R13" s="255" t="s">
        <v>246</v>
      </c>
      <c r="S13" s="250" t="s">
        <v>250</v>
      </c>
      <c r="T13" s="250" t="s">
        <v>251</v>
      </c>
      <c r="U13" s="252" t="s">
        <v>252</v>
      </c>
      <c r="V13" s="281" t="s">
        <v>307</v>
      </c>
      <c r="W13" s="283" t="s">
        <v>46</v>
      </c>
      <c r="X13" s="283" t="s">
        <v>45</v>
      </c>
      <c r="Y13" s="283" t="s">
        <v>44</v>
      </c>
      <c r="Z13" s="283" t="s">
        <v>43</v>
      </c>
      <c r="AA13" s="282" t="s">
        <v>39</v>
      </c>
      <c r="AB13" s="282" t="s">
        <v>38</v>
      </c>
      <c r="AC13" s="282" t="s">
        <v>42</v>
      </c>
      <c r="AD13" s="282" t="s">
        <v>41</v>
      </c>
      <c r="AE13" s="44" t="s">
        <v>159</v>
      </c>
      <c r="AF13" s="282" t="s">
        <v>38</v>
      </c>
      <c r="AG13" s="282" t="s">
        <v>158</v>
      </c>
      <c r="AH13" s="282" t="s">
        <v>40</v>
      </c>
      <c r="AI13" s="282" t="s">
        <v>39</v>
      </c>
      <c r="AJ13" s="282" t="s">
        <v>38</v>
      </c>
      <c r="AK13" s="282" t="s">
        <v>37</v>
      </c>
      <c r="AL13" s="282" t="s">
        <v>36</v>
      </c>
      <c r="AM13" s="282" t="s">
        <v>35</v>
      </c>
      <c r="AN13" s="320"/>
    </row>
    <row r="14" spans="1:40" ht="20.25" customHeight="1" x14ac:dyDescent="0.2">
      <c r="A14" s="284"/>
      <c r="B14" s="284">
        <v>0</v>
      </c>
      <c r="C14" s="284">
        <v>1</v>
      </c>
      <c r="D14" s="284">
        <v>2</v>
      </c>
      <c r="E14" s="284">
        <v>3</v>
      </c>
      <c r="F14" s="284">
        <v>4</v>
      </c>
      <c r="G14" s="284">
        <v>5</v>
      </c>
      <c r="H14" s="284">
        <v>6</v>
      </c>
      <c r="I14" s="284">
        <v>7</v>
      </c>
      <c r="J14" s="284">
        <v>8</v>
      </c>
      <c r="K14" s="284">
        <v>9</v>
      </c>
      <c r="L14" s="284">
        <v>10</v>
      </c>
      <c r="M14" s="284">
        <v>11</v>
      </c>
      <c r="N14" s="284">
        <v>12</v>
      </c>
      <c r="O14" s="284">
        <v>13</v>
      </c>
      <c r="P14" s="284">
        <v>14</v>
      </c>
      <c r="Q14" s="284">
        <v>15</v>
      </c>
      <c r="R14" s="55" t="s">
        <v>185</v>
      </c>
      <c r="S14" s="163" t="s">
        <v>186</v>
      </c>
      <c r="T14" s="163" t="s">
        <v>187</v>
      </c>
      <c r="U14" s="163" t="s">
        <v>188</v>
      </c>
      <c r="V14" s="284">
        <v>16</v>
      </c>
      <c r="W14" s="284">
        <v>17</v>
      </c>
      <c r="X14" s="284">
        <v>18</v>
      </c>
      <c r="Y14" s="284">
        <v>19</v>
      </c>
      <c r="Z14" s="284">
        <v>20</v>
      </c>
      <c r="AA14" s="284">
        <v>21</v>
      </c>
      <c r="AB14" s="284">
        <v>22</v>
      </c>
      <c r="AC14" s="284">
        <v>23</v>
      </c>
      <c r="AD14" s="284">
        <v>24</v>
      </c>
      <c r="AE14" s="151">
        <v>25</v>
      </c>
      <c r="AF14" s="284">
        <v>26</v>
      </c>
      <c r="AG14" s="284">
        <v>27</v>
      </c>
      <c r="AH14" s="284">
        <v>28</v>
      </c>
      <c r="AI14" s="284">
        <v>29</v>
      </c>
      <c r="AJ14" s="284">
        <v>30</v>
      </c>
      <c r="AK14" s="284">
        <v>31</v>
      </c>
      <c r="AL14" s="284">
        <v>32</v>
      </c>
      <c r="AM14" s="284">
        <v>33</v>
      </c>
      <c r="AN14" s="284">
        <v>34</v>
      </c>
    </row>
    <row r="15" spans="1:40" ht="32.85" customHeight="1" x14ac:dyDescent="0.2">
      <c r="A15" s="281"/>
      <c r="B15" s="20" t="s">
        <v>13</v>
      </c>
      <c r="C15" s="33">
        <f t="shared" ref="C15:Z15" si="0">C16+C41</f>
        <v>1992.4830000000002</v>
      </c>
      <c r="D15" s="33">
        <f t="shared" si="0"/>
        <v>94.589999999999989</v>
      </c>
      <c r="E15" s="33">
        <f t="shared" si="0"/>
        <v>906.79433333333327</v>
      </c>
      <c r="F15" s="33">
        <f t="shared" si="0"/>
        <v>876.79700000000014</v>
      </c>
      <c r="G15" s="33">
        <f t="shared" si="0"/>
        <v>114.30166666666662</v>
      </c>
      <c r="H15" s="33">
        <f t="shared" si="0"/>
        <v>221.07759246556736</v>
      </c>
      <c r="I15" s="33">
        <f t="shared" si="0"/>
        <v>10.74</v>
      </c>
      <c r="J15" s="33">
        <f t="shared" si="0"/>
        <v>91.968373593518791</v>
      </c>
      <c r="K15" s="33">
        <f t="shared" si="0"/>
        <v>107.81899999999999</v>
      </c>
      <c r="L15" s="33">
        <f t="shared" si="0"/>
        <v>10.55021887204858</v>
      </c>
      <c r="M15" s="33">
        <f>H15-C15</f>
        <v>-1771.4054075344329</v>
      </c>
      <c r="N15" s="33">
        <f>I15-D15</f>
        <v>-83.85</v>
      </c>
      <c r="O15" s="33">
        <f>J15-E15</f>
        <v>-814.82595973981449</v>
      </c>
      <c r="P15" s="33">
        <f>K15-F15</f>
        <v>-768.97800000000018</v>
      </c>
      <c r="Q15" s="33">
        <f>L15-G15</f>
        <v>-103.75144779461804</v>
      </c>
      <c r="R15" s="33" t="e">
        <f t="shared" si="0"/>
        <v>#REF!</v>
      </c>
      <c r="S15" s="33" t="e">
        <f t="shared" si="0"/>
        <v>#REF!</v>
      </c>
      <c r="T15" s="270" t="e">
        <f t="shared" si="0"/>
        <v>#REF!</v>
      </c>
      <c r="U15" s="33" t="e">
        <f t="shared" si="0"/>
        <v>#REF!</v>
      </c>
      <c r="V15" s="33">
        <f t="shared" si="0"/>
        <v>179.23964458220004</v>
      </c>
      <c r="W15" s="33">
        <f t="shared" si="0"/>
        <v>0</v>
      </c>
      <c r="X15" s="33">
        <f t="shared" si="0"/>
        <v>171.4261397163188</v>
      </c>
      <c r="Y15" s="33">
        <f t="shared" si="0"/>
        <v>7.4696759204810981</v>
      </c>
      <c r="Z15" s="33">
        <f t="shared" si="0"/>
        <v>0.34399999999999997</v>
      </c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</row>
    <row r="16" spans="1:40" ht="28.9" customHeight="1" x14ac:dyDescent="0.2">
      <c r="A16" s="281" t="s">
        <v>16</v>
      </c>
      <c r="B16" s="20" t="s">
        <v>14</v>
      </c>
      <c r="C16" s="33">
        <f t="shared" ref="C16:Z16" si="1">C17+C24+C26+C27+C28</f>
        <v>18.422000000000001</v>
      </c>
      <c r="D16" s="33">
        <f t="shared" si="1"/>
        <v>0</v>
      </c>
      <c r="E16" s="33">
        <f t="shared" si="1"/>
        <v>11.271999999999998</v>
      </c>
      <c r="F16" s="33">
        <f t="shared" si="1"/>
        <v>7.15</v>
      </c>
      <c r="G16" s="33">
        <f t="shared" si="1"/>
        <v>0</v>
      </c>
      <c r="H16" s="33">
        <f t="shared" si="1"/>
        <v>18.23088398314286</v>
      </c>
      <c r="I16" s="33">
        <f t="shared" si="1"/>
        <v>0</v>
      </c>
      <c r="J16" s="33">
        <f t="shared" si="1"/>
        <v>9.5887735935187983</v>
      </c>
      <c r="K16" s="33">
        <f t="shared" si="1"/>
        <v>8.1180000000000003</v>
      </c>
      <c r="L16" s="33">
        <f t="shared" si="1"/>
        <v>0.5241103896240582</v>
      </c>
      <c r="M16" s="33">
        <f t="shared" ref="M16:M25" si="2">H16-C16</f>
        <v>-0.19111601685714064</v>
      </c>
      <c r="N16" s="33">
        <f t="shared" ref="N16:N25" si="3">I16-D16</f>
        <v>0</v>
      </c>
      <c r="O16" s="33">
        <f t="shared" ref="O16:O25" si="4">J16-E16</f>
        <v>-1.6832264064812001</v>
      </c>
      <c r="P16" s="33">
        <f t="shared" ref="P16:P25" si="5">K16-F16</f>
        <v>0.96799999999999997</v>
      </c>
      <c r="Q16" s="33">
        <f t="shared" ref="Q16:Q25" si="6">L16-G16</f>
        <v>0.5241103896240582</v>
      </c>
      <c r="R16" s="33">
        <f t="shared" si="1"/>
        <v>0</v>
      </c>
      <c r="S16" s="33">
        <f t="shared" si="1"/>
        <v>5.1766446599999988E-2</v>
      </c>
      <c r="T16" s="33">
        <f t="shared" si="1"/>
        <v>22.257999999999999</v>
      </c>
      <c r="U16" s="33">
        <f t="shared" si="1"/>
        <v>1.6692</v>
      </c>
      <c r="V16" s="33">
        <f t="shared" si="1"/>
        <v>23.978966446599998</v>
      </c>
      <c r="W16" s="33">
        <f t="shared" si="1"/>
        <v>0</v>
      </c>
      <c r="X16" s="33">
        <f t="shared" si="1"/>
        <v>22.428199999999872</v>
      </c>
      <c r="Y16" s="33">
        <f t="shared" si="1"/>
        <v>1.21</v>
      </c>
      <c r="Z16" s="33">
        <f t="shared" si="1"/>
        <v>0.34199999999999997</v>
      </c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</row>
    <row r="17" spans="1:40" s="267" customFormat="1" ht="42.75" x14ac:dyDescent="0.25">
      <c r="A17" s="281" t="s">
        <v>29</v>
      </c>
      <c r="B17" s="20" t="s">
        <v>15</v>
      </c>
      <c r="C17" s="33">
        <f t="shared" ref="C17:Z17" si="7">SUM(C18:C23)</f>
        <v>0.3</v>
      </c>
      <c r="D17" s="33">
        <f t="shared" si="7"/>
        <v>0</v>
      </c>
      <c r="E17" s="33">
        <f t="shared" si="7"/>
        <v>0.15</v>
      </c>
      <c r="F17" s="33">
        <f t="shared" si="7"/>
        <v>0.15</v>
      </c>
      <c r="G17" s="33">
        <f t="shared" si="7"/>
        <v>0</v>
      </c>
      <c r="H17" s="33">
        <f t="shared" si="7"/>
        <v>1.8567744309999998</v>
      </c>
      <c r="I17" s="33">
        <f t="shared" si="7"/>
        <v>0</v>
      </c>
      <c r="J17" s="33">
        <f t="shared" si="7"/>
        <v>0.52877443099999999</v>
      </c>
      <c r="K17" s="33">
        <f t="shared" si="7"/>
        <v>1.1179999999999999</v>
      </c>
      <c r="L17" s="33">
        <f t="shared" si="7"/>
        <v>0.21</v>
      </c>
      <c r="M17" s="33">
        <f t="shared" si="2"/>
        <v>1.5567744309999998</v>
      </c>
      <c r="N17" s="33">
        <f t="shared" si="3"/>
        <v>0</v>
      </c>
      <c r="O17" s="33">
        <f t="shared" si="4"/>
        <v>0.37877443099999997</v>
      </c>
      <c r="P17" s="33">
        <f t="shared" si="5"/>
        <v>0.96799999999999986</v>
      </c>
      <c r="Q17" s="33">
        <f t="shared" si="6"/>
        <v>0.21</v>
      </c>
      <c r="R17" s="33">
        <f t="shared" si="7"/>
        <v>0</v>
      </c>
      <c r="S17" s="33">
        <f t="shared" si="7"/>
        <v>0</v>
      </c>
      <c r="T17" s="33">
        <f t="shared" si="7"/>
        <v>0.379</v>
      </c>
      <c r="U17" s="33">
        <f t="shared" si="7"/>
        <v>1.478</v>
      </c>
      <c r="V17" s="33">
        <f t="shared" si="7"/>
        <v>1.857</v>
      </c>
      <c r="W17" s="33">
        <f t="shared" si="7"/>
        <v>0</v>
      </c>
      <c r="X17" s="33">
        <f t="shared" si="7"/>
        <v>0.52900000000000003</v>
      </c>
      <c r="Y17" s="33">
        <f t="shared" si="7"/>
        <v>1.1179999999999999</v>
      </c>
      <c r="Z17" s="33">
        <f t="shared" si="7"/>
        <v>0.21</v>
      </c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</row>
    <row r="18" spans="1:40" s="13" customFormat="1" ht="45" x14ac:dyDescent="0.25">
      <c r="A18" s="22" t="s">
        <v>205</v>
      </c>
      <c r="B18" s="21" t="s">
        <v>190</v>
      </c>
      <c r="C18" s="26">
        <v>0.3</v>
      </c>
      <c r="D18" s="59"/>
      <c r="E18" s="291">
        <v>0.15</v>
      </c>
      <c r="F18" s="291">
        <v>0.15</v>
      </c>
      <c r="G18" s="293"/>
      <c r="H18" s="292">
        <f>I18+J18+K18+L18</f>
        <v>0.96899999999999997</v>
      </c>
      <c r="I18" s="293"/>
      <c r="J18" s="293">
        <v>0.15</v>
      </c>
      <c r="K18" s="293">
        <v>0.81899999999999995</v>
      </c>
      <c r="L18" s="293"/>
      <c r="M18" s="291">
        <f t="shared" si="2"/>
        <v>0.66900000000000004</v>
      </c>
      <c r="N18" s="291">
        <f t="shared" si="3"/>
        <v>0</v>
      </c>
      <c r="O18" s="291">
        <f t="shared" si="4"/>
        <v>0</v>
      </c>
      <c r="P18" s="291">
        <f t="shared" si="5"/>
        <v>0.66899999999999993</v>
      </c>
      <c r="Q18" s="291">
        <f t="shared" si="6"/>
        <v>0</v>
      </c>
      <c r="R18" s="277">
        <v>0</v>
      </c>
      <c r="S18" s="294"/>
      <c r="T18" s="294"/>
      <c r="U18" s="294">
        <v>0.96899999999999997</v>
      </c>
      <c r="V18" s="293">
        <v>0.96899999999999997</v>
      </c>
      <c r="W18" s="294"/>
      <c r="X18" s="294">
        <v>0.15</v>
      </c>
      <c r="Y18" s="294">
        <v>0.81899999999999995</v>
      </c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45"/>
      <c r="AL18" s="45"/>
      <c r="AM18" s="45"/>
      <c r="AN18" s="45"/>
    </row>
    <row r="19" spans="1:40" s="13" customFormat="1" ht="86.45" customHeight="1" x14ac:dyDescent="0.25">
      <c r="A19" s="22" t="s">
        <v>206</v>
      </c>
      <c r="B19" s="14" t="s">
        <v>202</v>
      </c>
      <c r="C19" s="26">
        <v>0</v>
      </c>
      <c r="D19" s="23"/>
      <c r="E19" s="23"/>
      <c r="F19" s="23"/>
      <c r="G19" s="23"/>
      <c r="H19" s="15">
        <v>0.13617955599999998</v>
      </c>
      <c r="I19" s="23"/>
      <c r="J19" s="23">
        <f>H19</f>
        <v>0.13617955599999998</v>
      </c>
      <c r="K19" s="23"/>
      <c r="L19" s="23"/>
      <c r="M19" s="52">
        <f t="shared" si="2"/>
        <v>0.13617955599999998</v>
      </c>
      <c r="N19" s="52">
        <f t="shared" si="3"/>
        <v>0</v>
      </c>
      <c r="O19" s="52">
        <f t="shared" si="4"/>
        <v>0.13617955599999998</v>
      </c>
      <c r="P19" s="52">
        <f t="shared" si="5"/>
        <v>0</v>
      </c>
      <c r="Q19" s="52">
        <f t="shared" si="6"/>
        <v>0</v>
      </c>
      <c r="R19" s="26">
        <v>0</v>
      </c>
      <c r="S19" s="23"/>
      <c r="T19" s="23">
        <v>0.13600000000000001</v>
      </c>
      <c r="U19" s="23"/>
      <c r="V19" s="59">
        <f>U19+T19+S19+R19</f>
        <v>0.13600000000000001</v>
      </c>
      <c r="W19" s="23"/>
      <c r="X19" s="23">
        <f>V19</f>
        <v>0.13600000000000001</v>
      </c>
      <c r="Y19" s="23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45"/>
      <c r="AL19" s="45"/>
      <c r="AM19" s="45"/>
      <c r="AN19" s="45"/>
    </row>
    <row r="20" spans="1:40" s="13" customFormat="1" ht="90" x14ac:dyDescent="0.25">
      <c r="A20" s="22" t="s">
        <v>207</v>
      </c>
      <c r="B20" s="14" t="s">
        <v>203</v>
      </c>
      <c r="C20" s="26">
        <v>0</v>
      </c>
      <c r="D20" s="59"/>
      <c r="E20" s="59"/>
      <c r="F20" s="59"/>
      <c r="G20" s="59"/>
      <c r="H20" s="15">
        <v>0.13074735119999997</v>
      </c>
      <c r="I20" s="59"/>
      <c r="J20" s="23">
        <f>H20</f>
        <v>0.13074735119999997</v>
      </c>
      <c r="K20" s="59"/>
      <c r="L20" s="59"/>
      <c r="M20" s="52">
        <f t="shared" si="2"/>
        <v>0.13074735119999997</v>
      </c>
      <c r="N20" s="52">
        <f t="shared" si="3"/>
        <v>0</v>
      </c>
      <c r="O20" s="52">
        <f t="shared" si="4"/>
        <v>0.13074735119999997</v>
      </c>
      <c r="P20" s="52">
        <f t="shared" si="5"/>
        <v>0</v>
      </c>
      <c r="Q20" s="52">
        <f t="shared" si="6"/>
        <v>0</v>
      </c>
      <c r="R20" s="26">
        <v>0</v>
      </c>
      <c r="S20" s="59"/>
      <c r="T20" s="59">
        <v>0.13100000000000001</v>
      </c>
      <c r="U20" s="59"/>
      <c r="V20" s="59">
        <f>U20+T20+S20+R20</f>
        <v>0.13100000000000001</v>
      </c>
      <c r="W20" s="59"/>
      <c r="X20" s="23">
        <f>V20</f>
        <v>0.13100000000000001</v>
      </c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45"/>
      <c r="AL20" s="45"/>
      <c r="AM20" s="45"/>
      <c r="AN20" s="45"/>
    </row>
    <row r="21" spans="1:40" s="13" customFormat="1" ht="75" x14ac:dyDescent="0.25">
      <c r="A21" s="22" t="s">
        <v>208</v>
      </c>
      <c r="B21" s="14" t="s">
        <v>204</v>
      </c>
      <c r="C21" s="26">
        <v>0</v>
      </c>
      <c r="D21" s="52"/>
      <c r="E21" s="52"/>
      <c r="F21" s="52"/>
      <c r="G21" s="52"/>
      <c r="H21" s="15">
        <v>0.1118475238</v>
      </c>
      <c r="I21" s="52"/>
      <c r="J21" s="23">
        <f>H21</f>
        <v>0.1118475238</v>
      </c>
      <c r="K21" s="52"/>
      <c r="L21" s="52"/>
      <c r="M21" s="52">
        <f t="shared" si="2"/>
        <v>0.1118475238</v>
      </c>
      <c r="N21" s="52">
        <f t="shared" si="3"/>
        <v>0</v>
      </c>
      <c r="O21" s="52">
        <f t="shared" si="4"/>
        <v>0.1118475238</v>
      </c>
      <c r="P21" s="52">
        <f t="shared" si="5"/>
        <v>0</v>
      </c>
      <c r="Q21" s="52">
        <f t="shared" si="6"/>
        <v>0</v>
      </c>
      <c r="R21" s="26">
        <v>0</v>
      </c>
      <c r="S21" s="52"/>
      <c r="T21" s="52">
        <v>0.112</v>
      </c>
      <c r="U21" s="52"/>
      <c r="V21" s="59">
        <f>U21+T21+S21+R21</f>
        <v>0.112</v>
      </c>
      <c r="W21" s="52"/>
      <c r="X21" s="23">
        <f>V21</f>
        <v>0.112</v>
      </c>
      <c r="Y21" s="52"/>
      <c r="Z21" s="59"/>
      <c r="AA21" s="52"/>
      <c r="AB21" s="52"/>
      <c r="AC21" s="52"/>
      <c r="AD21" s="52"/>
      <c r="AE21" s="52"/>
      <c r="AF21" s="52"/>
      <c r="AG21" s="15"/>
      <c r="AH21" s="52"/>
      <c r="AI21" s="52"/>
      <c r="AJ21" s="52"/>
      <c r="AK21" s="43"/>
      <c r="AL21" s="43"/>
      <c r="AM21" s="43"/>
      <c r="AN21" s="43"/>
    </row>
    <row r="22" spans="1:40" s="13" customFormat="1" ht="60" x14ac:dyDescent="0.25">
      <c r="A22" s="275" t="s">
        <v>209</v>
      </c>
      <c r="B22" s="21" t="s">
        <v>199</v>
      </c>
      <c r="C22" s="26">
        <v>0</v>
      </c>
      <c r="D22" s="52"/>
      <c r="E22" s="291"/>
      <c r="F22" s="291"/>
      <c r="G22" s="291"/>
      <c r="H22" s="292">
        <f>I22+J22+K22+L22</f>
        <v>0.29899999999999999</v>
      </c>
      <c r="I22" s="291"/>
      <c r="J22" s="291"/>
      <c r="K22" s="291">
        <v>0.29899999999999999</v>
      </c>
      <c r="L22" s="291"/>
      <c r="M22" s="291">
        <f t="shared" si="2"/>
        <v>0.29899999999999999</v>
      </c>
      <c r="N22" s="291">
        <f t="shared" si="3"/>
        <v>0</v>
      </c>
      <c r="O22" s="291">
        <f t="shared" si="4"/>
        <v>0</v>
      </c>
      <c r="P22" s="291">
        <f t="shared" si="5"/>
        <v>0.29899999999999999</v>
      </c>
      <c r="Q22" s="291">
        <f t="shared" si="6"/>
        <v>0</v>
      </c>
      <c r="R22" s="277">
        <v>0</v>
      </c>
      <c r="S22" s="291"/>
      <c r="T22" s="291"/>
      <c r="U22" s="291">
        <v>0.29899999999999999</v>
      </c>
      <c r="V22" s="293">
        <f>U22+T22+S22+R22</f>
        <v>0.29899999999999999</v>
      </c>
      <c r="W22" s="291"/>
      <c r="X22" s="294"/>
      <c r="Y22" s="293">
        <f>V22</f>
        <v>0.29899999999999999</v>
      </c>
      <c r="Z22" s="59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43"/>
      <c r="AL22" s="26" t="s">
        <v>155</v>
      </c>
      <c r="AM22" s="43">
        <v>8.5000000000000006E-2</v>
      </c>
      <c r="AN22" s="43"/>
    </row>
    <row r="23" spans="1:40" s="13" customFormat="1" ht="45" x14ac:dyDescent="0.25">
      <c r="A23" s="275" t="s">
        <v>210</v>
      </c>
      <c r="B23" s="14" t="s">
        <v>291</v>
      </c>
      <c r="C23" s="26">
        <v>0</v>
      </c>
      <c r="D23" s="52"/>
      <c r="E23" s="291"/>
      <c r="F23" s="291"/>
      <c r="G23" s="291"/>
      <c r="H23" s="292">
        <f>I23+J23+K23+L23</f>
        <v>0.21</v>
      </c>
      <c r="I23" s="291"/>
      <c r="J23" s="291"/>
      <c r="K23" s="291"/>
      <c r="L23" s="291">
        <v>0.21</v>
      </c>
      <c r="M23" s="291">
        <f t="shared" si="2"/>
        <v>0.21</v>
      </c>
      <c r="N23" s="291">
        <f t="shared" si="3"/>
        <v>0</v>
      </c>
      <c r="O23" s="291">
        <f t="shared" si="4"/>
        <v>0</v>
      </c>
      <c r="P23" s="291">
        <f t="shared" si="5"/>
        <v>0</v>
      </c>
      <c r="Q23" s="291">
        <f t="shared" si="6"/>
        <v>0.21</v>
      </c>
      <c r="R23" s="277">
        <v>0</v>
      </c>
      <c r="S23" s="277">
        <v>0</v>
      </c>
      <c r="T23" s="277">
        <v>0</v>
      </c>
      <c r="U23" s="291">
        <v>0.21</v>
      </c>
      <c r="V23" s="293">
        <f>R23+S23+T23+U23</f>
        <v>0.21</v>
      </c>
      <c r="W23" s="291"/>
      <c r="X23" s="294"/>
      <c r="Y23" s="291"/>
      <c r="Z23" s="293">
        <f>V23</f>
        <v>0.21</v>
      </c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43"/>
      <c r="AL23" s="43"/>
      <c r="AM23" s="43"/>
      <c r="AN23" s="43"/>
    </row>
    <row r="24" spans="1:40" s="267" customFormat="1" ht="42.75" x14ac:dyDescent="0.25">
      <c r="A24" s="281" t="s">
        <v>30</v>
      </c>
      <c r="B24" s="20" t="s">
        <v>18</v>
      </c>
      <c r="C24" s="33">
        <f t="shared" ref="C24:Z24" si="8">SUM(C25:C25)</f>
        <v>14.036</v>
      </c>
      <c r="D24" s="33">
        <f t="shared" si="8"/>
        <v>0</v>
      </c>
      <c r="E24" s="33">
        <f t="shared" si="8"/>
        <v>7.0359999999999996</v>
      </c>
      <c r="F24" s="33">
        <f t="shared" si="8"/>
        <v>7</v>
      </c>
      <c r="G24" s="33">
        <f t="shared" si="8"/>
        <v>0</v>
      </c>
      <c r="H24" s="33">
        <f t="shared" si="8"/>
        <v>14.175000000000001</v>
      </c>
      <c r="I24" s="33">
        <f t="shared" si="8"/>
        <v>0</v>
      </c>
      <c r="J24" s="33">
        <f t="shared" si="8"/>
        <v>7.1749999999999998</v>
      </c>
      <c r="K24" s="33">
        <f t="shared" si="8"/>
        <v>7</v>
      </c>
      <c r="L24" s="33">
        <f t="shared" si="8"/>
        <v>0</v>
      </c>
      <c r="M24" s="33">
        <f t="shared" si="2"/>
        <v>0.13900000000000112</v>
      </c>
      <c r="N24" s="33">
        <f t="shared" si="3"/>
        <v>0</v>
      </c>
      <c r="O24" s="33">
        <f t="shared" si="4"/>
        <v>0.13900000000000023</v>
      </c>
      <c r="P24" s="33">
        <f t="shared" si="5"/>
        <v>0</v>
      </c>
      <c r="Q24" s="33">
        <f t="shared" si="6"/>
        <v>0</v>
      </c>
      <c r="R24" s="33">
        <f t="shared" si="8"/>
        <v>0</v>
      </c>
      <c r="S24" s="33">
        <f t="shared" si="8"/>
        <v>0</v>
      </c>
      <c r="T24" s="33">
        <f t="shared" si="8"/>
        <v>20.254999999999999</v>
      </c>
      <c r="U24" s="33">
        <f t="shared" si="8"/>
        <v>0</v>
      </c>
      <c r="V24" s="33">
        <f t="shared" si="8"/>
        <v>20.254999999999999</v>
      </c>
      <c r="W24" s="33">
        <f t="shared" si="8"/>
        <v>0</v>
      </c>
      <c r="X24" s="33">
        <f t="shared" si="8"/>
        <v>20.254999999999871</v>
      </c>
      <c r="Y24" s="33">
        <f t="shared" si="8"/>
        <v>0</v>
      </c>
      <c r="Z24" s="33">
        <f t="shared" si="8"/>
        <v>0</v>
      </c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</row>
    <row r="25" spans="1:40" s="13" customFormat="1" ht="81" customHeight="1" x14ac:dyDescent="0.25">
      <c r="A25" s="22" t="s">
        <v>211</v>
      </c>
      <c r="B25" s="21" t="s">
        <v>150</v>
      </c>
      <c r="C25" s="26">
        <v>14.036</v>
      </c>
      <c r="D25" s="52"/>
      <c r="E25" s="52">
        <v>7.0359999999999996</v>
      </c>
      <c r="F25" s="52">
        <v>7</v>
      </c>
      <c r="G25" s="52"/>
      <c r="H25" s="15">
        <f>I25+J25+K25+L25</f>
        <v>14.175000000000001</v>
      </c>
      <c r="I25" s="52"/>
      <c r="J25" s="52">
        <v>7.1749999999999998</v>
      </c>
      <c r="K25" s="52">
        <v>7</v>
      </c>
      <c r="L25" s="52"/>
      <c r="M25" s="52">
        <f t="shared" si="2"/>
        <v>0.13900000000000112</v>
      </c>
      <c r="N25" s="52">
        <f t="shared" si="3"/>
        <v>0</v>
      </c>
      <c r="O25" s="52">
        <f t="shared" si="4"/>
        <v>0.13900000000000023</v>
      </c>
      <c r="P25" s="52">
        <f t="shared" si="5"/>
        <v>0</v>
      </c>
      <c r="Q25" s="52">
        <f t="shared" si="6"/>
        <v>0</v>
      </c>
      <c r="R25" s="26">
        <v>0</v>
      </c>
      <c r="S25" s="52"/>
      <c r="T25" s="52">
        <v>20.254999999999999</v>
      </c>
      <c r="U25" s="52"/>
      <c r="V25" s="59">
        <f>U25+T25+S25+R25</f>
        <v>20.254999999999999</v>
      </c>
      <c r="W25" s="52"/>
      <c r="X25" s="52">
        <f>$V25/$M25*O25</f>
        <v>20.254999999999871</v>
      </c>
      <c r="Y25" s="52">
        <f>$V25/$M25*P25</f>
        <v>0</v>
      </c>
      <c r="Z25" s="59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43"/>
      <c r="AL25" s="43"/>
      <c r="AM25" s="43"/>
      <c r="AN25" s="43"/>
    </row>
    <row r="26" spans="1:40" s="267" customFormat="1" ht="28.5" x14ac:dyDescent="0.25">
      <c r="A26" s="281" t="s">
        <v>31</v>
      </c>
      <c r="B26" s="20" t="s">
        <v>19</v>
      </c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</row>
    <row r="27" spans="1:40" s="267" customFormat="1" ht="57" x14ac:dyDescent="0.25">
      <c r="A27" s="281" t="s">
        <v>32</v>
      </c>
      <c r="B27" s="20" t="s">
        <v>20</v>
      </c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  <c r="AM27" s="58"/>
      <c r="AN27" s="58"/>
    </row>
    <row r="28" spans="1:40" ht="37.5" customHeight="1" x14ac:dyDescent="0.2">
      <c r="A28" s="281" t="s">
        <v>152</v>
      </c>
      <c r="B28" s="20" t="s">
        <v>151</v>
      </c>
      <c r="C28" s="33">
        <f t="shared" ref="C28:Z28" si="9">SUM(C29:C40)</f>
        <v>4.0859999999999994</v>
      </c>
      <c r="D28" s="33">
        <f t="shared" si="9"/>
        <v>0</v>
      </c>
      <c r="E28" s="33">
        <f t="shared" si="9"/>
        <v>4.0859999999999994</v>
      </c>
      <c r="F28" s="33">
        <f t="shared" si="9"/>
        <v>0</v>
      </c>
      <c r="G28" s="33">
        <f t="shared" si="9"/>
        <v>0</v>
      </c>
      <c r="H28" s="33">
        <f t="shared" si="9"/>
        <v>2.1991095521428572</v>
      </c>
      <c r="I28" s="33">
        <f t="shared" si="9"/>
        <v>0</v>
      </c>
      <c r="J28" s="33">
        <f t="shared" si="9"/>
        <v>1.8849991625187992</v>
      </c>
      <c r="K28" s="33">
        <f t="shared" si="9"/>
        <v>0</v>
      </c>
      <c r="L28" s="33">
        <f t="shared" si="9"/>
        <v>0.31411038962405824</v>
      </c>
      <c r="M28" s="33">
        <f t="shared" ref="M28:M62" si="10">H28-C28</f>
        <v>-1.8868904478571422</v>
      </c>
      <c r="N28" s="33">
        <f t="shared" ref="N28:N62" si="11">I28-D28</f>
        <v>0</v>
      </c>
      <c r="O28" s="33">
        <f t="shared" ref="O28:O62" si="12">J28-E28</f>
        <v>-2.2010008374812005</v>
      </c>
      <c r="P28" s="33">
        <f t="shared" ref="P28:P62" si="13">K28-F28</f>
        <v>0</v>
      </c>
      <c r="Q28" s="33">
        <f t="shared" ref="Q28:Q62" si="14">L28-G28</f>
        <v>0.31411038962405824</v>
      </c>
      <c r="R28" s="33">
        <f t="shared" si="9"/>
        <v>0</v>
      </c>
      <c r="S28" s="33">
        <f t="shared" si="9"/>
        <v>5.1766446599999988E-2</v>
      </c>
      <c r="T28" s="33">
        <f t="shared" si="9"/>
        <v>1.6240000000000001</v>
      </c>
      <c r="U28" s="33">
        <f t="shared" si="9"/>
        <v>0.19120000000000001</v>
      </c>
      <c r="V28" s="33">
        <f t="shared" si="9"/>
        <v>1.8669664466</v>
      </c>
      <c r="W28" s="33">
        <f t="shared" si="9"/>
        <v>0</v>
      </c>
      <c r="X28" s="33">
        <f t="shared" si="9"/>
        <v>1.6442000000000003</v>
      </c>
      <c r="Y28" s="33">
        <f t="shared" si="9"/>
        <v>9.1999999999999998E-2</v>
      </c>
      <c r="Z28" s="33">
        <f t="shared" si="9"/>
        <v>0.13200000000000001</v>
      </c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</row>
    <row r="29" spans="1:40" s="13" customFormat="1" ht="43.15" customHeight="1" x14ac:dyDescent="0.25">
      <c r="A29" s="22" t="s">
        <v>212</v>
      </c>
      <c r="B29" s="21" t="s">
        <v>160</v>
      </c>
      <c r="C29" s="277">
        <v>0.27600000000000002</v>
      </c>
      <c r="D29" s="291"/>
      <c r="E29" s="291">
        <v>0.27600000000000002</v>
      </c>
      <c r="F29" s="291"/>
      <c r="G29" s="291"/>
      <c r="H29" s="292">
        <f>0.143299162518799+0.012</f>
        <v>0.15529916251879902</v>
      </c>
      <c r="I29" s="291"/>
      <c r="J29" s="292">
        <f>H29</f>
        <v>0.15529916251879902</v>
      </c>
      <c r="K29" s="291"/>
      <c r="L29" s="292">
        <f>H29-J29</f>
        <v>0</v>
      </c>
      <c r="M29" s="291">
        <f t="shared" si="10"/>
        <v>-0.120700837481201</v>
      </c>
      <c r="N29" s="291">
        <f t="shared" si="11"/>
        <v>0</v>
      </c>
      <c r="O29" s="291">
        <f t="shared" si="12"/>
        <v>-0.120700837481201</v>
      </c>
      <c r="P29" s="291">
        <f t="shared" si="13"/>
        <v>0</v>
      </c>
      <c r="Q29" s="291">
        <f t="shared" si="14"/>
        <v>0</v>
      </c>
      <c r="R29" s="277">
        <v>0</v>
      </c>
      <c r="S29" s="291">
        <v>1.9708639999999999E-4</v>
      </c>
      <c r="T29" s="291">
        <v>0.192</v>
      </c>
      <c r="U29" s="228">
        <v>2.7E-2</v>
      </c>
      <c r="V29" s="293">
        <f>U29+T29+S29+R29</f>
        <v>0.21919708639999999</v>
      </c>
      <c r="W29" s="291"/>
      <c r="X29" s="291">
        <f>0.1+0.027</f>
        <v>0.127</v>
      </c>
      <c r="Y29" s="291">
        <v>9.1999999999999998E-2</v>
      </c>
      <c r="Z29" s="293"/>
      <c r="AA29" s="52"/>
      <c r="AB29" s="52"/>
      <c r="AC29" s="52"/>
      <c r="AD29" s="52"/>
      <c r="AE29" s="52"/>
      <c r="AF29" s="52"/>
      <c r="AG29" s="52"/>
      <c r="AH29" s="52"/>
      <c r="AI29" s="52"/>
      <c r="AJ29" s="60"/>
      <c r="AK29" s="46"/>
      <c r="AL29" s="46"/>
      <c r="AM29" s="46"/>
      <c r="AN29" s="46"/>
    </row>
    <row r="30" spans="1:40" s="67" customFormat="1" ht="43.15" customHeight="1" x14ac:dyDescent="0.2">
      <c r="A30" s="22" t="s">
        <v>213</v>
      </c>
      <c r="B30" s="21" t="s">
        <v>161</v>
      </c>
      <c r="C30" s="26">
        <v>0.58899999999999997</v>
      </c>
      <c r="D30" s="52"/>
      <c r="E30" s="52">
        <v>0.58899999999999997</v>
      </c>
      <c r="F30" s="52"/>
      <c r="G30" s="52"/>
      <c r="H30" s="15">
        <v>0.28555605670355122</v>
      </c>
      <c r="I30" s="52"/>
      <c r="J30" s="15">
        <v>0.26900000000000002</v>
      </c>
      <c r="K30" s="52"/>
      <c r="L30" s="15">
        <f>H30-J30</f>
        <v>1.6556056703551203E-2</v>
      </c>
      <c r="M30" s="52">
        <f t="shared" si="10"/>
        <v>-0.30344394329644875</v>
      </c>
      <c r="N30" s="52">
        <f t="shared" si="11"/>
        <v>0</v>
      </c>
      <c r="O30" s="52">
        <f t="shared" si="12"/>
        <v>-0.31999999999999995</v>
      </c>
      <c r="P30" s="52">
        <f t="shared" si="13"/>
        <v>0</v>
      </c>
      <c r="Q30" s="52">
        <f t="shared" si="14"/>
        <v>1.6556056703551203E-2</v>
      </c>
      <c r="R30" s="26">
        <v>0</v>
      </c>
      <c r="S30" s="228">
        <v>2.1323640000000003E-4</v>
      </c>
      <c r="T30" s="52">
        <v>0.43099999999999999</v>
      </c>
      <c r="U30" s="52"/>
      <c r="V30" s="59">
        <f>U30+T30+S30+R30</f>
        <v>0.43121323639999998</v>
      </c>
      <c r="W30" s="52"/>
      <c r="X30" s="52">
        <v>0.43099999999999999</v>
      </c>
      <c r="Y30" s="52"/>
      <c r="Z30" s="59"/>
      <c r="AA30" s="52"/>
      <c r="AB30" s="52"/>
      <c r="AC30" s="52"/>
      <c r="AD30" s="52"/>
      <c r="AE30" s="52"/>
      <c r="AF30" s="52"/>
      <c r="AG30" s="52"/>
      <c r="AH30" s="52"/>
      <c r="AI30" s="52"/>
      <c r="AJ30" s="68"/>
      <c r="AK30" s="69"/>
      <c r="AL30" s="69"/>
      <c r="AM30" s="69"/>
      <c r="AN30" s="69"/>
    </row>
    <row r="31" spans="1:40" s="67" customFormat="1" ht="46.5" customHeight="1" x14ac:dyDescent="0.2">
      <c r="A31" s="275" t="s">
        <v>214</v>
      </c>
      <c r="B31" s="21" t="s">
        <v>168</v>
      </c>
      <c r="C31" s="26">
        <v>0</v>
      </c>
      <c r="D31" s="52"/>
      <c r="E31" s="52">
        <v>0</v>
      </c>
      <c r="F31" s="52"/>
      <c r="G31" s="52"/>
      <c r="H31" s="292">
        <v>0.16438139999999998</v>
      </c>
      <c r="I31" s="52"/>
      <c r="J31" s="15">
        <v>0</v>
      </c>
      <c r="K31" s="52"/>
      <c r="L31" s="15">
        <f t="shared" ref="L31:L39" si="15">H31-J31</f>
        <v>0.16438139999999998</v>
      </c>
      <c r="M31" s="52">
        <f t="shared" si="10"/>
        <v>0.16438139999999998</v>
      </c>
      <c r="N31" s="52">
        <f t="shared" si="11"/>
        <v>0</v>
      </c>
      <c r="O31" s="52">
        <f t="shared" si="12"/>
        <v>0</v>
      </c>
      <c r="P31" s="52">
        <f t="shared" si="13"/>
        <v>0</v>
      </c>
      <c r="Q31" s="52">
        <f t="shared" si="14"/>
        <v>0.16438139999999998</v>
      </c>
      <c r="R31" s="26"/>
      <c r="S31" s="52"/>
      <c r="T31" s="52"/>
      <c r="U31" s="52"/>
      <c r="V31" s="59"/>
      <c r="W31" s="52"/>
      <c r="X31" s="52"/>
      <c r="Y31" s="52"/>
      <c r="Z31" s="59"/>
      <c r="AA31" s="52"/>
      <c r="AB31" s="52"/>
      <c r="AC31" s="52"/>
      <c r="AD31" s="52"/>
      <c r="AE31" s="52"/>
      <c r="AF31" s="52"/>
      <c r="AG31" s="52"/>
      <c r="AH31" s="52"/>
      <c r="AI31" s="52"/>
      <c r="AJ31" s="68"/>
      <c r="AK31" s="69"/>
      <c r="AL31" s="69"/>
      <c r="AM31" s="69"/>
      <c r="AN31" s="69"/>
    </row>
    <row r="32" spans="1:40" s="13" customFormat="1" ht="48" customHeight="1" x14ac:dyDescent="0.25">
      <c r="A32" s="22" t="s">
        <v>215</v>
      </c>
      <c r="B32" s="21" t="s">
        <v>162</v>
      </c>
      <c r="C32" s="26">
        <v>0.25700000000000001</v>
      </c>
      <c r="D32" s="52"/>
      <c r="E32" s="52">
        <v>0.25700000000000001</v>
      </c>
      <c r="F32" s="52"/>
      <c r="G32" s="52"/>
      <c r="H32" s="15">
        <v>0.11963265421057175</v>
      </c>
      <c r="I32" s="52"/>
      <c r="J32" s="15">
        <v>0.11899999999999999</v>
      </c>
      <c r="K32" s="52"/>
      <c r="L32" s="15">
        <f t="shared" si="15"/>
        <v>6.3265421057175086E-4</v>
      </c>
      <c r="M32" s="52">
        <f t="shared" si="10"/>
        <v>-0.13736734578942827</v>
      </c>
      <c r="N32" s="52">
        <f t="shared" si="11"/>
        <v>0</v>
      </c>
      <c r="O32" s="52">
        <f t="shared" si="12"/>
        <v>-0.13800000000000001</v>
      </c>
      <c r="P32" s="52">
        <f t="shared" si="13"/>
        <v>0</v>
      </c>
      <c r="Q32" s="52">
        <f t="shared" si="14"/>
        <v>6.3265421057175086E-4</v>
      </c>
      <c r="R32" s="26">
        <v>0</v>
      </c>
      <c r="S32" s="228">
        <v>1.9689640000000001E-4</v>
      </c>
      <c r="T32" s="52">
        <v>0.183</v>
      </c>
      <c r="U32" s="52"/>
      <c r="V32" s="59">
        <f t="shared" ref="V32:V37" si="16">U32+T32+S32+R32</f>
        <v>0.1831968964</v>
      </c>
      <c r="W32" s="52"/>
      <c r="X32" s="52">
        <v>0.183</v>
      </c>
      <c r="Y32" s="52"/>
      <c r="Z32" s="59"/>
      <c r="AA32" s="52"/>
      <c r="AB32" s="52"/>
      <c r="AC32" s="52"/>
      <c r="AD32" s="52"/>
      <c r="AE32" s="52"/>
      <c r="AF32" s="52"/>
      <c r="AG32" s="52"/>
      <c r="AH32" s="52"/>
      <c r="AI32" s="52"/>
      <c r="AJ32" s="60"/>
      <c r="AK32" s="46"/>
      <c r="AL32" s="46"/>
      <c r="AM32" s="46"/>
      <c r="AN32" s="46"/>
    </row>
    <row r="33" spans="1:40" s="13" customFormat="1" ht="47.25" customHeight="1" x14ac:dyDescent="0.25">
      <c r="A33" s="22" t="s">
        <v>216</v>
      </c>
      <c r="B33" s="21" t="s">
        <v>163</v>
      </c>
      <c r="C33" s="26">
        <v>0.253</v>
      </c>
      <c r="D33" s="52"/>
      <c r="E33" s="52">
        <v>0.253</v>
      </c>
      <c r="F33" s="52"/>
      <c r="G33" s="52"/>
      <c r="H33" s="15">
        <v>0.13442970242638677</v>
      </c>
      <c r="I33" s="52"/>
      <c r="J33" s="15">
        <v>0.13400000000000001</v>
      </c>
      <c r="K33" s="52"/>
      <c r="L33" s="15">
        <f t="shared" si="15"/>
        <v>4.2970242638676326E-4</v>
      </c>
      <c r="M33" s="52">
        <f t="shared" si="10"/>
        <v>-0.11857029757361323</v>
      </c>
      <c r="N33" s="52">
        <f t="shared" si="11"/>
        <v>0</v>
      </c>
      <c r="O33" s="52">
        <f t="shared" si="12"/>
        <v>-0.11899999999999999</v>
      </c>
      <c r="P33" s="52">
        <f t="shared" si="13"/>
        <v>0</v>
      </c>
      <c r="Q33" s="52">
        <f t="shared" si="14"/>
        <v>4.2970242638676326E-4</v>
      </c>
      <c r="R33" s="26">
        <v>0</v>
      </c>
      <c r="S33" s="228">
        <v>1.907364E-4</v>
      </c>
      <c r="T33" s="52">
        <v>0.14599999999999999</v>
      </c>
      <c r="U33" s="52"/>
      <c r="V33" s="59">
        <f t="shared" si="16"/>
        <v>0.14619073639999999</v>
      </c>
      <c r="W33" s="52"/>
      <c r="X33" s="52">
        <f>0.146+0.003</f>
        <v>0.14899999999999999</v>
      </c>
      <c r="Y33" s="52"/>
      <c r="Z33" s="59"/>
      <c r="AA33" s="52"/>
      <c r="AB33" s="52"/>
      <c r="AC33" s="52"/>
      <c r="AD33" s="52"/>
      <c r="AE33" s="52"/>
      <c r="AF33" s="52"/>
      <c r="AG33" s="52"/>
      <c r="AH33" s="52"/>
      <c r="AI33" s="52"/>
      <c r="AJ33" s="60"/>
      <c r="AK33" s="46"/>
      <c r="AL33" s="46"/>
      <c r="AM33" s="46"/>
      <c r="AN33" s="46"/>
    </row>
    <row r="34" spans="1:40" s="13" customFormat="1" ht="30" x14ac:dyDescent="0.25">
      <c r="A34" s="22" t="s">
        <v>217</v>
      </c>
      <c r="B34" s="21" t="s">
        <v>167</v>
      </c>
      <c r="C34" s="26">
        <v>1.161</v>
      </c>
      <c r="D34" s="52"/>
      <c r="E34" s="52">
        <v>1.161</v>
      </c>
      <c r="F34" s="52"/>
      <c r="G34" s="52"/>
      <c r="H34" s="15">
        <v>0.53269699343693533</v>
      </c>
      <c r="I34" s="52"/>
      <c r="J34" s="15">
        <v>0.53300000000000003</v>
      </c>
      <c r="K34" s="52"/>
      <c r="L34" s="15">
        <f t="shared" si="15"/>
        <v>-3.0300656306470053E-4</v>
      </c>
      <c r="M34" s="52">
        <f t="shared" si="10"/>
        <v>-0.6283030065630647</v>
      </c>
      <c r="N34" s="52">
        <f t="shared" si="11"/>
        <v>0</v>
      </c>
      <c r="O34" s="52">
        <f t="shared" si="12"/>
        <v>-0.628</v>
      </c>
      <c r="P34" s="52">
        <f t="shared" si="13"/>
        <v>0</v>
      </c>
      <c r="Q34" s="52">
        <f t="shared" si="14"/>
        <v>-3.0300656306470053E-4</v>
      </c>
      <c r="R34" s="26"/>
      <c r="S34" s="52"/>
      <c r="T34" s="52"/>
      <c r="U34" s="52"/>
      <c r="V34" s="59">
        <f t="shared" si="16"/>
        <v>0</v>
      </c>
      <c r="W34" s="52"/>
      <c r="X34" s="59">
        <v>0</v>
      </c>
      <c r="Y34" s="52"/>
      <c r="Z34" s="59"/>
      <c r="AA34" s="52"/>
      <c r="AB34" s="52"/>
      <c r="AC34" s="52"/>
      <c r="AD34" s="52"/>
      <c r="AE34" s="52"/>
      <c r="AF34" s="52"/>
      <c r="AG34" s="52"/>
      <c r="AH34" s="52"/>
      <c r="AI34" s="52"/>
      <c r="AJ34" s="60"/>
      <c r="AK34" s="46"/>
      <c r="AL34" s="46"/>
      <c r="AM34" s="46"/>
      <c r="AN34" s="46"/>
    </row>
    <row r="35" spans="1:40" s="13" customFormat="1" ht="45" x14ac:dyDescent="0.25">
      <c r="A35" s="22" t="s">
        <v>218</v>
      </c>
      <c r="B35" s="21" t="s">
        <v>164</v>
      </c>
      <c r="C35" s="26">
        <v>0.85699999999999998</v>
      </c>
      <c r="D35" s="52"/>
      <c r="E35" s="26">
        <v>0.85699999999999998</v>
      </c>
      <c r="F35" s="52"/>
      <c r="G35" s="52"/>
      <c r="H35" s="15">
        <v>0.37778619070375613</v>
      </c>
      <c r="I35" s="52"/>
      <c r="J35" s="23">
        <v>0.378</v>
      </c>
      <c r="K35" s="52"/>
      <c r="L35" s="15">
        <f t="shared" si="15"/>
        <v>-2.1380929624387202E-4</v>
      </c>
      <c r="M35" s="52">
        <f t="shared" si="10"/>
        <v>-0.47921380929624385</v>
      </c>
      <c r="N35" s="52">
        <f t="shared" si="11"/>
        <v>0</v>
      </c>
      <c r="O35" s="52">
        <f t="shared" si="12"/>
        <v>-0.47899999999999998</v>
      </c>
      <c r="P35" s="52">
        <f t="shared" si="13"/>
        <v>0</v>
      </c>
      <c r="Q35" s="52">
        <f t="shared" si="14"/>
        <v>-2.1380929624387202E-4</v>
      </c>
      <c r="R35" s="26">
        <v>0</v>
      </c>
      <c r="S35" s="228">
        <v>2.1320639999999999E-4</v>
      </c>
      <c r="T35" s="52">
        <v>0.433</v>
      </c>
      <c r="U35" s="52"/>
      <c r="V35" s="59">
        <f t="shared" si="16"/>
        <v>0.43321320639999999</v>
      </c>
      <c r="W35" s="52"/>
      <c r="X35" s="52">
        <v>0.433</v>
      </c>
      <c r="Y35" s="52"/>
      <c r="Z35" s="59"/>
      <c r="AA35" s="52"/>
      <c r="AB35" s="52"/>
      <c r="AC35" s="52"/>
      <c r="AD35" s="52"/>
      <c r="AE35" s="52"/>
      <c r="AF35" s="52"/>
      <c r="AG35" s="52"/>
      <c r="AH35" s="52"/>
      <c r="AI35" s="52"/>
      <c r="AJ35" s="60"/>
      <c r="AK35" s="46"/>
      <c r="AL35" s="46"/>
      <c r="AM35" s="46"/>
      <c r="AN35" s="46"/>
    </row>
    <row r="36" spans="1:40" s="13" customFormat="1" ht="72" customHeight="1" x14ac:dyDescent="0.25">
      <c r="A36" s="275" t="s">
        <v>219</v>
      </c>
      <c r="B36" s="21" t="s">
        <v>166</v>
      </c>
      <c r="C36" s="26">
        <v>0</v>
      </c>
      <c r="D36" s="52"/>
      <c r="E36" s="52"/>
      <c r="F36" s="52"/>
      <c r="G36" s="52"/>
      <c r="H36" s="15">
        <v>0.18318951214285711</v>
      </c>
      <c r="I36" s="52"/>
      <c r="J36" s="23">
        <v>0.183</v>
      </c>
      <c r="K36" s="52"/>
      <c r="L36" s="15">
        <f t="shared" si="15"/>
        <v>1.8951214285711782E-4</v>
      </c>
      <c r="M36" s="52">
        <f t="shared" si="10"/>
        <v>0.18318951214285711</v>
      </c>
      <c r="N36" s="52">
        <f t="shared" si="11"/>
        <v>0</v>
      </c>
      <c r="O36" s="52">
        <f t="shared" si="12"/>
        <v>0.183</v>
      </c>
      <c r="P36" s="52">
        <f t="shared" si="13"/>
        <v>0</v>
      </c>
      <c r="Q36" s="52">
        <f t="shared" si="14"/>
        <v>1.8951214285711782E-4</v>
      </c>
      <c r="R36" s="26"/>
      <c r="S36" s="228">
        <v>1.9662640000000001E-4</v>
      </c>
      <c r="T36" s="52">
        <v>0.20499999999999999</v>
      </c>
      <c r="U36" s="52"/>
      <c r="V36" s="59">
        <f t="shared" si="16"/>
        <v>0.2051966264</v>
      </c>
      <c r="W36" s="52"/>
      <c r="X36" s="52">
        <v>0.20499999999999999</v>
      </c>
      <c r="Y36" s="52"/>
      <c r="Z36" s="59"/>
      <c r="AA36" s="52"/>
      <c r="AB36" s="52"/>
      <c r="AC36" s="52"/>
      <c r="AD36" s="52"/>
      <c r="AE36" s="52"/>
      <c r="AF36" s="52"/>
      <c r="AG36" s="52"/>
      <c r="AH36" s="52"/>
      <c r="AI36" s="52"/>
      <c r="AJ36" s="60"/>
      <c r="AK36" s="46"/>
      <c r="AL36" s="46"/>
      <c r="AM36" s="46"/>
      <c r="AN36" s="46"/>
    </row>
    <row r="37" spans="1:40" s="13" customFormat="1" ht="75" x14ac:dyDescent="0.25">
      <c r="A37" s="275" t="s">
        <v>220</v>
      </c>
      <c r="B37" s="21" t="s">
        <v>242</v>
      </c>
      <c r="C37" s="26">
        <v>0</v>
      </c>
      <c r="D37" s="52"/>
      <c r="E37" s="52"/>
      <c r="F37" s="52"/>
      <c r="G37" s="52"/>
      <c r="H37" s="15">
        <v>0.05</v>
      </c>
      <c r="I37" s="52"/>
      <c r="J37" s="15">
        <v>0.05</v>
      </c>
      <c r="K37" s="15"/>
      <c r="L37" s="15">
        <f t="shared" si="15"/>
        <v>0</v>
      </c>
      <c r="M37" s="52">
        <f t="shared" si="10"/>
        <v>0.05</v>
      </c>
      <c r="N37" s="52">
        <f t="shared" si="11"/>
        <v>0</v>
      </c>
      <c r="O37" s="52">
        <f t="shared" si="12"/>
        <v>0.05</v>
      </c>
      <c r="P37" s="52">
        <f t="shared" si="13"/>
        <v>0</v>
      </c>
      <c r="Q37" s="52">
        <f t="shared" si="14"/>
        <v>0</v>
      </c>
      <c r="R37" s="26"/>
      <c r="S37" s="52">
        <v>5.021822539999999E-2</v>
      </c>
      <c r="T37" s="52"/>
      <c r="U37" s="52"/>
      <c r="V37" s="59">
        <f t="shared" si="16"/>
        <v>5.021822539999999E-2</v>
      </c>
      <c r="W37" s="52"/>
      <c r="X37" s="52">
        <v>0.05</v>
      </c>
      <c r="Y37" s="52"/>
      <c r="Z37" s="59"/>
      <c r="AA37" s="52"/>
      <c r="AB37" s="52"/>
      <c r="AC37" s="52"/>
      <c r="AD37" s="52"/>
      <c r="AE37" s="52"/>
      <c r="AF37" s="52"/>
      <c r="AG37" s="52"/>
      <c r="AH37" s="52"/>
      <c r="AI37" s="52"/>
      <c r="AJ37" s="60"/>
      <c r="AK37" s="46"/>
      <c r="AL37" s="46"/>
      <c r="AM37" s="46"/>
      <c r="AN37" s="46"/>
    </row>
    <row r="38" spans="1:40" s="13" customFormat="1" ht="30" x14ac:dyDescent="0.25">
      <c r="A38" s="275" t="s">
        <v>221</v>
      </c>
      <c r="B38" s="14" t="s">
        <v>200</v>
      </c>
      <c r="C38" s="277">
        <v>0</v>
      </c>
      <c r="D38" s="291"/>
      <c r="E38" s="291"/>
      <c r="F38" s="291"/>
      <c r="G38" s="291"/>
      <c r="H38" s="292">
        <f>I38+J38+K38+L38</f>
        <v>0.13223381000000001</v>
      </c>
      <c r="I38" s="291"/>
      <c r="J38" s="291"/>
      <c r="K38" s="291"/>
      <c r="L38" s="292">
        <f>0.00023381+0.132</f>
        <v>0.13223381000000001</v>
      </c>
      <c r="M38" s="291">
        <f t="shared" si="10"/>
        <v>0.13223381000000001</v>
      </c>
      <c r="N38" s="291">
        <f t="shared" si="11"/>
        <v>0</v>
      </c>
      <c r="O38" s="291">
        <f t="shared" si="12"/>
        <v>0</v>
      </c>
      <c r="P38" s="291">
        <f t="shared" si="13"/>
        <v>0</v>
      </c>
      <c r="Q38" s="291">
        <f t="shared" si="14"/>
        <v>0.13223381000000001</v>
      </c>
      <c r="R38" s="277">
        <v>0</v>
      </c>
      <c r="S38" s="291"/>
      <c r="T38" s="291">
        <v>0</v>
      </c>
      <c r="U38" s="228">
        <v>0.13200000000000001</v>
      </c>
      <c r="V38" s="293">
        <f>R38+S38+T38+U38</f>
        <v>0.13200000000000001</v>
      </c>
      <c r="W38" s="291"/>
      <c r="X38" s="291"/>
      <c r="Y38" s="291"/>
      <c r="Z38" s="293">
        <v>0.13200000000000001</v>
      </c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47"/>
      <c r="AL38" s="47"/>
      <c r="AM38" s="47"/>
      <c r="AN38" s="47"/>
    </row>
    <row r="39" spans="1:40" s="13" customFormat="1" ht="82.35" customHeight="1" x14ac:dyDescent="0.25">
      <c r="A39" s="275" t="s">
        <v>222</v>
      </c>
      <c r="B39" s="14" t="s">
        <v>201</v>
      </c>
      <c r="C39" s="277">
        <v>0</v>
      </c>
      <c r="D39" s="291"/>
      <c r="E39" s="291"/>
      <c r="F39" s="291"/>
      <c r="G39" s="291"/>
      <c r="H39" s="292">
        <f>0.03420407+0.0002</f>
        <v>3.4404070000000002E-2</v>
      </c>
      <c r="I39" s="291"/>
      <c r="J39" s="294">
        <f>0.034+0.0002</f>
        <v>3.4200000000000001E-2</v>
      </c>
      <c r="K39" s="291"/>
      <c r="L39" s="292">
        <f t="shared" si="15"/>
        <v>2.0407000000000064E-4</v>
      </c>
      <c r="M39" s="291">
        <f t="shared" si="10"/>
        <v>3.4404070000000002E-2</v>
      </c>
      <c r="N39" s="291">
        <f t="shared" si="11"/>
        <v>0</v>
      </c>
      <c r="O39" s="291">
        <f t="shared" si="12"/>
        <v>3.4200000000000001E-2</v>
      </c>
      <c r="P39" s="291">
        <f t="shared" si="13"/>
        <v>0</v>
      </c>
      <c r="Q39" s="291">
        <f t="shared" si="14"/>
        <v>2.0407000000000064E-4</v>
      </c>
      <c r="R39" s="277">
        <v>0</v>
      </c>
      <c r="S39" s="291">
        <v>1.266564E-4</v>
      </c>
      <c r="T39" s="291">
        <v>3.4000000000000002E-2</v>
      </c>
      <c r="U39" s="291">
        <v>2.0000000000000001E-4</v>
      </c>
      <c r="V39" s="293">
        <f>U39+T39+S39+R39</f>
        <v>3.4326656400000002E-2</v>
      </c>
      <c r="W39" s="291"/>
      <c r="X39" s="291">
        <f>0.034+0.0002</f>
        <v>3.4200000000000001E-2</v>
      </c>
      <c r="Y39" s="291"/>
      <c r="Z39" s="293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47"/>
      <c r="AL39" s="47"/>
      <c r="AM39" s="47"/>
      <c r="AN39" s="47"/>
    </row>
    <row r="40" spans="1:40" s="13" customFormat="1" ht="30" x14ac:dyDescent="0.25">
      <c r="A40" s="22" t="s">
        <v>223</v>
      </c>
      <c r="B40" s="21" t="s">
        <v>173</v>
      </c>
      <c r="C40" s="277">
        <v>0.69299999999999995</v>
      </c>
      <c r="D40" s="291"/>
      <c r="E40" s="291">
        <v>0.69299999999999995</v>
      </c>
      <c r="F40" s="291"/>
      <c r="G40" s="291"/>
      <c r="H40" s="292">
        <f>I40+J40+K40+L40</f>
        <v>2.9500000000000002E-2</v>
      </c>
      <c r="I40" s="291"/>
      <c r="J40" s="291">
        <f>0.0005+0.029</f>
        <v>2.9500000000000002E-2</v>
      </c>
      <c r="K40" s="291"/>
      <c r="L40" s="292">
        <v>0</v>
      </c>
      <c r="M40" s="291">
        <f t="shared" si="10"/>
        <v>-0.66349999999999998</v>
      </c>
      <c r="N40" s="291">
        <f t="shared" si="11"/>
        <v>0</v>
      </c>
      <c r="O40" s="291">
        <f t="shared" si="12"/>
        <v>-0.66349999999999998</v>
      </c>
      <c r="P40" s="291">
        <f t="shared" si="13"/>
        <v>0</v>
      </c>
      <c r="Q40" s="291">
        <f t="shared" si="14"/>
        <v>0</v>
      </c>
      <c r="R40" s="277">
        <v>0</v>
      </c>
      <c r="S40" s="291">
        <v>2.137764E-4</v>
      </c>
      <c r="T40" s="291">
        <v>0</v>
      </c>
      <c r="U40" s="228">
        <v>3.2000000000000001E-2</v>
      </c>
      <c r="V40" s="293">
        <f>U40+T40+S40+R40</f>
        <v>3.2213776399999998E-2</v>
      </c>
      <c r="W40" s="291"/>
      <c r="X40" s="291">
        <v>3.2000000000000001E-2</v>
      </c>
      <c r="Y40" s="291"/>
      <c r="Z40" s="293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43"/>
      <c r="AL40" s="43"/>
      <c r="AM40" s="43"/>
      <c r="AN40" s="43"/>
    </row>
    <row r="41" spans="1:40" ht="82.35" customHeight="1" x14ac:dyDescent="0.2">
      <c r="A41" s="29" t="s">
        <v>17</v>
      </c>
      <c r="B41" s="20" t="s">
        <v>21</v>
      </c>
      <c r="C41" s="33">
        <f t="shared" ref="C41:Z41" si="17">C42+C43</f>
        <v>1974.0610000000001</v>
      </c>
      <c r="D41" s="33">
        <f t="shared" si="17"/>
        <v>94.589999999999989</v>
      </c>
      <c r="E41" s="33">
        <f t="shared" si="17"/>
        <v>895.52233333333322</v>
      </c>
      <c r="F41" s="33">
        <f t="shared" si="17"/>
        <v>869.64700000000016</v>
      </c>
      <c r="G41" s="33">
        <f t="shared" si="17"/>
        <v>114.30166666666662</v>
      </c>
      <c r="H41" s="33">
        <f t="shared" si="17"/>
        <v>202.8467084824245</v>
      </c>
      <c r="I41" s="33">
        <f t="shared" si="17"/>
        <v>10.74</v>
      </c>
      <c r="J41" s="33">
        <f t="shared" si="17"/>
        <v>82.379599999999996</v>
      </c>
      <c r="K41" s="33">
        <f t="shared" si="17"/>
        <v>99.700999999999993</v>
      </c>
      <c r="L41" s="33">
        <f t="shared" si="17"/>
        <v>10.026108482424522</v>
      </c>
      <c r="M41" s="33">
        <f t="shared" si="10"/>
        <v>-1771.2142915175757</v>
      </c>
      <c r="N41" s="33">
        <f t="shared" si="11"/>
        <v>-83.85</v>
      </c>
      <c r="O41" s="33">
        <f t="shared" si="12"/>
        <v>-813.14273333333324</v>
      </c>
      <c r="P41" s="33">
        <f t="shared" si="13"/>
        <v>-769.94600000000014</v>
      </c>
      <c r="Q41" s="33">
        <f t="shared" si="14"/>
        <v>-104.2755581842421</v>
      </c>
      <c r="R41" s="33" t="e">
        <f t="shared" si="17"/>
        <v>#REF!</v>
      </c>
      <c r="S41" s="33" t="e">
        <f t="shared" si="17"/>
        <v>#REF!</v>
      </c>
      <c r="T41" s="33" t="e">
        <f t="shared" si="17"/>
        <v>#REF!</v>
      </c>
      <c r="U41" s="33" t="e">
        <f t="shared" si="17"/>
        <v>#REF!</v>
      </c>
      <c r="V41" s="33">
        <f t="shared" si="17"/>
        <v>155.26067813560005</v>
      </c>
      <c r="W41" s="33">
        <f t="shared" si="17"/>
        <v>0</v>
      </c>
      <c r="X41" s="33">
        <f t="shared" si="17"/>
        <v>148.99793971631894</v>
      </c>
      <c r="Y41" s="33">
        <f t="shared" si="17"/>
        <v>6.2596759204810981</v>
      </c>
      <c r="Z41" s="33">
        <f t="shared" si="17"/>
        <v>2E-3</v>
      </c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</row>
    <row r="42" spans="1:40" s="267" customFormat="1" ht="82.35" customHeight="1" x14ac:dyDescent="0.25">
      <c r="A42" s="29" t="s">
        <v>33</v>
      </c>
      <c r="B42" s="20" t="s">
        <v>15</v>
      </c>
      <c r="C42" s="33">
        <v>0</v>
      </c>
      <c r="D42" s="33">
        <v>0</v>
      </c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f t="shared" si="10"/>
        <v>0</v>
      </c>
      <c r="N42" s="33">
        <f t="shared" si="11"/>
        <v>0</v>
      </c>
      <c r="O42" s="33">
        <f t="shared" si="12"/>
        <v>0</v>
      </c>
      <c r="P42" s="33">
        <f t="shared" si="13"/>
        <v>0</v>
      </c>
      <c r="Q42" s="33">
        <f t="shared" si="14"/>
        <v>0</v>
      </c>
      <c r="R42" s="33" t="e">
        <f>SUM(#REF!)</f>
        <v>#REF!</v>
      </c>
      <c r="S42" s="33" t="e">
        <f>SUM(#REF!)</f>
        <v>#REF!</v>
      </c>
      <c r="T42" s="33" t="e">
        <f>SUM(#REF!)</f>
        <v>#REF!</v>
      </c>
      <c r="U42" s="33" t="e">
        <f>SUM(#REF!)</f>
        <v>#REF!</v>
      </c>
      <c r="V42" s="33">
        <v>0</v>
      </c>
      <c r="W42" s="33">
        <v>0</v>
      </c>
      <c r="X42" s="33">
        <v>0</v>
      </c>
      <c r="Y42" s="33">
        <v>0</v>
      </c>
      <c r="Z42" s="33">
        <v>0</v>
      </c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</row>
    <row r="43" spans="1:40" ht="38.65" customHeight="1" x14ac:dyDescent="0.2">
      <c r="A43" s="29" t="s">
        <v>34</v>
      </c>
      <c r="B43" s="20" t="s">
        <v>22</v>
      </c>
      <c r="C43" s="33">
        <f t="shared" ref="C43:Z43" si="18">SUM(C44:C62)</f>
        <v>1974.0610000000001</v>
      </c>
      <c r="D43" s="33">
        <f t="shared" si="18"/>
        <v>94.589999999999989</v>
      </c>
      <c r="E43" s="33">
        <f t="shared" si="18"/>
        <v>895.52233333333322</v>
      </c>
      <c r="F43" s="33">
        <f t="shared" si="18"/>
        <v>869.64700000000016</v>
      </c>
      <c r="G43" s="33">
        <f t="shared" si="18"/>
        <v>114.30166666666662</v>
      </c>
      <c r="H43" s="33">
        <f t="shared" si="18"/>
        <v>202.8467084824245</v>
      </c>
      <c r="I43" s="33">
        <f t="shared" si="18"/>
        <v>10.74</v>
      </c>
      <c r="J43" s="33">
        <f t="shared" si="18"/>
        <v>82.379599999999996</v>
      </c>
      <c r="K43" s="33">
        <f t="shared" si="18"/>
        <v>99.700999999999993</v>
      </c>
      <c r="L43" s="33">
        <f t="shared" si="18"/>
        <v>10.026108482424522</v>
      </c>
      <c r="M43" s="33">
        <f t="shared" si="10"/>
        <v>-1771.2142915175757</v>
      </c>
      <c r="N43" s="33">
        <f t="shared" si="11"/>
        <v>-83.85</v>
      </c>
      <c r="O43" s="33">
        <f t="shared" si="12"/>
        <v>-813.14273333333324</v>
      </c>
      <c r="P43" s="33">
        <f t="shared" si="13"/>
        <v>-769.94600000000014</v>
      </c>
      <c r="Q43" s="33">
        <f t="shared" si="14"/>
        <v>-104.2755581842421</v>
      </c>
      <c r="R43" s="33">
        <f t="shared" si="18"/>
        <v>5.6109999999999998</v>
      </c>
      <c r="S43" s="33">
        <f t="shared" si="18"/>
        <v>2.4020781356000005</v>
      </c>
      <c r="T43" s="33">
        <f t="shared" si="18"/>
        <v>7.2809999999999997</v>
      </c>
      <c r="U43" s="33">
        <f t="shared" si="18"/>
        <v>139.96660000000003</v>
      </c>
      <c r="V43" s="33">
        <f t="shared" si="18"/>
        <v>155.26067813560005</v>
      </c>
      <c r="W43" s="33">
        <f t="shared" si="18"/>
        <v>0</v>
      </c>
      <c r="X43" s="33">
        <f t="shared" si="18"/>
        <v>148.99793971631894</v>
      </c>
      <c r="Y43" s="33">
        <f t="shared" si="18"/>
        <v>6.2596759204810981</v>
      </c>
      <c r="Z43" s="33">
        <f t="shared" si="18"/>
        <v>2E-3</v>
      </c>
      <c r="AA43" s="33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</row>
    <row r="44" spans="1:40" s="67" customFormat="1" ht="145.5" customHeight="1" x14ac:dyDescent="0.2">
      <c r="A44" s="22" t="s">
        <v>224</v>
      </c>
      <c r="B44" s="27" t="s">
        <v>189</v>
      </c>
      <c r="C44" s="292">
        <v>303.47900000000004</v>
      </c>
      <c r="D44" s="292"/>
      <c r="E44" s="292">
        <v>155</v>
      </c>
      <c r="F44" s="292">
        <v>148.47900000000004</v>
      </c>
      <c r="G44" s="292"/>
      <c r="H44" s="292">
        <f t="shared" ref="H44:H51" si="19">I44+J44+K44+L44</f>
        <v>1.9534</v>
      </c>
      <c r="I44" s="292"/>
      <c r="J44" s="292">
        <f>0.478+0.3684</f>
        <v>0.84640000000000004</v>
      </c>
      <c r="K44" s="292">
        <v>1.107</v>
      </c>
      <c r="L44" s="292">
        <v>0</v>
      </c>
      <c r="M44" s="291">
        <f t="shared" si="10"/>
        <v>-301.52560000000005</v>
      </c>
      <c r="N44" s="291">
        <f t="shared" si="11"/>
        <v>0</v>
      </c>
      <c r="O44" s="291">
        <f t="shared" si="12"/>
        <v>-154.15360000000001</v>
      </c>
      <c r="P44" s="291">
        <f t="shared" si="13"/>
        <v>-147.37200000000004</v>
      </c>
      <c r="Q44" s="291">
        <f t="shared" si="14"/>
        <v>0</v>
      </c>
      <c r="R44" s="277">
        <v>0.44600000000000001</v>
      </c>
      <c r="S44" s="291">
        <v>0.66669241480000008</v>
      </c>
      <c r="T44" s="291">
        <v>0.47499999999999998</v>
      </c>
      <c r="U44" s="228">
        <v>0.36840000000000001</v>
      </c>
      <c r="V44" s="293">
        <f t="shared" ref="V44:V60" si="20">U44+T44+S44+R44</f>
        <v>1.9560924147999998</v>
      </c>
      <c r="W44" s="291"/>
      <c r="X44" s="291">
        <f>$V44/$M44*O44</f>
        <v>1.0000434048522355</v>
      </c>
      <c r="Y44" s="291">
        <f>V44-X44</f>
        <v>0.95604900994776432</v>
      </c>
      <c r="Z44" s="59"/>
      <c r="AA44" s="15"/>
      <c r="AB44" s="15"/>
      <c r="AC44" s="15"/>
      <c r="AD44" s="52"/>
      <c r="AE44" s="52"/>
      <c r="AF44" s="52"/>
      <c r="AG44" s="52"/>
      <c r="AH44" s="52"/>
      <c r="AI44" s="52"/>
      <c r="AJ44" s="68"/>
      <c r="AK44" s="69"/>
      <c r="AL44" s="69"/>
      <c r="AM44" s="69"/>
      <c r="AN44" s="69"/>
    </row>
    <row r="45" spans="1:40" s="67" customFormat="1" ht="110.25" customHeight="1" x14ac:dyDescent="0.2">
      <c r="A45" s="22" t="s">
        <v>225</v>
      </c>
      <c r="B45" s="148" t="s">
        <v>274</v>
      </c>
      <c r="C45" s="292">
        <v>185</v>
      </c>
      <c r="D45" s="292"/>
      <c r="E45" s="292">
        <v>95</v>
      </c>
      <c r="F45" s="292">
        <v>90</v>
      </c>
      <c r="G45" s="292"/>
      <c r="H45" s="292">
        <f t="shared" si="19"/>
        <v>1.4354</v>
      </c>
      <c r="I45" s="292"/>
      <c r="J45" s="292">
        <f>0.365+0.3134</f>
        <v>0.6784</v>
      </c>
      <c r="K45" s="292">
        <v>0.75700000000000001</v>
      </c>
      <c r="L45" s="292">
        <v>0</v>
      </c>
      <c r="M45" s="291">
        <f t="shared" si="10"/>
        <v>-183.56460000000001</v>
      </c>
      <c r="N45" s="291">
        <f t="shared" si="11"/>
        <v>0</v>
      </c>
      <c r="O45" s="291">
        <f t="shared" si="12"/>
        <v>-94.321600000000004</v>
      </c>
      <c r="P45" s="291">
        <f t="shared" si="13"/>
        <v>-89.242999999999995</v>
      </c>
      <c r="Q45" s="291">
        <f t="shared" si="14"/>
        <v>0</v>
      </c>
      <c r="R45" s="277">
        <v>0.42599999999999999</v>
      </c>
      <c r="S45" s="291">
        <v>0.3338091332</v>
      </c>
      <c r="T45" s="292">
        <v>0.36499999999999999</v>
      </c>
      <c r="U45" s="290">
        <v>0.31340000000000001</v>
      </c>
      <c r="V45" s="293">
        <f t="shared" si="20"/>
        <v>1.4382091332</v>
      </c>
      <c r="W45" s="291"/>
      <c r="X45" s="291">
        <f>0.349+0.313</f>
        <v>0.66199999999999992</v>
      </c>
      <c r="Y45" s="291">
        <f>0.753+0.023</f>
        <v>0.77600000000000002</v>
      </c>
      <c r="Z45" s="59"/>
      <c r="AA45" s="15"/>
      <c r="AB45" s="15"/>
      <c r="AC45" s="15"/>
      <c r="AD45" s="52"/>
      <c r="AE45" s="52"/>
      <c r="AF45" s="52"/>
      <c r="AG45" s="52"/>
      <c r="AH45" s="52"/>
      <c r="AI45" s="52"/>
      <c r="AJ45" s="68"/>
      <c r="AK45" s="69"/>
      <c r="AL45" s="69"/>
      <c r="AM45" s="69"/>
      <c r="AN45" s="69"/>
    </row>
    <row r="46" spans="1:40" s="67" customFormat="1" ht="114" customHeight="1" x14ac:dyDescent="0.2">
      <c r="A46" s="22" t="s">
        <v>226</v>
      </c>
      <c r="B46" s="148" t="s">
        <v>275</v>
      </c>
      <c r="C46" s="292">
        <v>405.262</v>
      </c>
      <c r="D46" s="292"/>
      <c r="E46" s="292">
        <v>205</v>
      </c>
      <c r="F46" s="292">
        <v>200.262</v>
      </c>
      <c r="G46" s="292"/>
      <c r="H46" s="292">
        <f t="shared" si="19"/>
        <v>102.5154</v>
      </c>
      <c r="I46" s="292"/>
      <c r="J46" s="292">
        <f>0.576+50.3724</f>
        <v>50.948399999999999</v>
      </c>
      <c r="K46" s="292">
        <f>1.195+50.372</f>
        <v>51.567</v>
      </c>
      <c r="L46" s="292">
        <v>0</v>
      </c>
      <c r="M46" s="291">
        <f t="shared" si="10"/>
        <v>-302.7466</v>
      </c>
      <c r="N46" s="291">
        <f t="shared" si="11"/>
        <v>0</v>
      </c>
      <c r="O46" s="291">
        <f t="shared" si="12"/>
        <v>-154.05160000000001</v>
      </c>
      <c r="P46" s="291">
        <f t="shared" si="13"/>
        <v>-148.69499999999999</v>
      </c>
      <c r="Q46" s="291">
        <f t="shared" si="14"/>
        <v>0</v>
      </c>
      <c r="R46" s="277">
        <v>0.67500000000000004</v>
      </c>
      <c r="S46" s="291">
        <v>0.5252288812</v>
      </c>
      <c r="T46" s="292">
        <v>0.57599999999999996</v>
      </c>
      <c r="U46" s="290">
        <v>114.54340000000001</v>
      </c>
      <c r="V46" s="293">
        <f t="shared" si="20"/>
        <v>116.31962888119999</v>
      </c>
      <c r="W46" s="291"/>
      <c r="X46" s="291">
        <f>V46-Y46</f>
        <v>115.54362888119999</v>
      </c>
      <c r="Y46" s="291">
        <v>0.77600000000000002</v>
      </c>
      <c r="Z46" s="59"/>
      <c r="AA46" s="15"/>
      <c r="AB46" s="15"/>
      <c r="AC46" s="15"/>
      <c r="AD46" s="52"/>
      <c r="AE46" s="52"/>
      <c r="AF46" s="52"/>
      <c r="AG46" s="52"/>
      <c r="AH46" s="52"/>
      <c r="AI46" s="52"/>
      <c r="AJ46" s="68"/>
      <c r="AK46" s="69"/>
      <c r="AL46" s="69"/>
      <c r="AM46" s="69"/>
      <c r="AN46" s="69"/>
    </row>
    <row r="47" spans="1:40" s="67" customFormat="1" ht="95.25" customHeight="1" x14ac:dyDescent="0.2">
      <c r="A47" s="22" t="s">
        <v>227</v>
      </c>
      <c r="B47" s="148" t="s">
        <v>276</v>
      </c>
      <c r="C47" s="292">
        <v>784.90899999999999</v>
      </c>
      <c r="D47" s="291">
        <v>63.844000000000001</v>
      </c>
      <c r="E47" s="291">
        <v>310.68299999999999</v>
      </c>
      <c r="F47" s="291">
        <v>328.29599999999999</v>
      </c>
      <c r="G47" s="291">
        <v>82.085999999999956</v>
      </c>
      <c r="H47" s="292">
        <f t="shared" si="19"/>
        <v>1.9843999999999999</v>
      </c>
      <c r="I47" s="291"/>
      <c r="J47" s="292">
        <f>0.506+0.4304</f>
        <v>0.93640000000000001</v>
      </c>
      <c r="K47" s="291"/>
      <c r="L47" s="292">
        <v>1.048</v>
      </c>
      <c r="M47" s="291">
        <f t="shared" si="10"/>
        <v>-782.92459999999994</v>
      </c>
      <c r="N47" s="291">
        <f t="shared" si="11"/>
        <v>-63.844000000000001</v>
      </c>
      <c r="O47" s="291">
        <f t="shared" si="12"/>
        <v>-309.7466</v>
      </c>
      <c r="P47" s="291">
        <f t="shared" si="13"/>
        <v>-328.29599999999999</v>
      </c>
      <c r="Q47" s="291">
        <f t="shared" si="14"/>
        <v>-81.037999999999954</v>
      </c>
      <c r="R47" s="277">
        <v>0.59199999999999997</v>
      </c>
      <c r="S47" s="291">
        <v>0.46089357720000002</v>
      </c>
      <c r="T47" s="291">
        <v>0.50600000000000001</v>
      </c>
      <c r="U47" s="228">
        <v>0.4304</v>
      </c>
      <c r="V47" s="293">
        <f t="shared" si="20"/>
        <v>1.9892935772000002</v>
      </c>
      <c r="W47" s="291"/>
      <c r="X47" s="291">
        <v>0.6</v>
      </c>
      <c r="Y47" s="291">
        <f>V47-X47</f>
        <v>1.3892935772000001</v>
      </c>
      <c r="Z47" s="59"/>
      <c r="AA47" s="52"/>
      <c r="AB47" s="52"/>
      <c r="AC47" s="52"/>
      <c r="AD47" s="52"/>
      <c r="AE47" s="52"/>
      <c r="AF47" s="52"/>
      <c r="AG47" s="52"/>
      <c r="AH47" s="52"/>
      <c r="AI47" s="52"/>
      <c r="AJ47" s="68"/>
      <c r="AK47" s="69"/>
      <c r="AL47" s="69"/>
      <c r="AM47" s="69"/>
      <c r="AN47" s="69"/>
    </row>
    <row r="48" spans="1:40" s="67" customFormat="1" ht="103.5" customHeight="1" x14ac:dyDescent="0.2">
      <c r="A48" s="22" t="s">
        <v>228</v>
      </c>
      <c r="B48" s="14" t="s">
        <v>198</v>
      </c>
      <c r="C48" s="292">
        <v>53.220999999999997</v>
      </c>
      <c r="D48" s="291"/>
      <c r="E48" s="291">
        <v>26</v>
      </c>
      <c r="F48" s="291">
        <v>27.220999999999997</v>
      </c>
      <c r="G48" s="291"/>
      <c r="H48" s="292">
        <f t="shared" si="19"/>
        <v>0.26929999999999998</v>
      </c>
      <c r="I48" s="291"/>
      <c r="J48" s="292">
        <f>0.069+0.0583</f>
        <v>0.1273</v>
      </c>
      <c r="K48" s="291">
        <v>0.14199999999999999</v>
      </c>
      <c r="L48" s="292">
        <v>0</v>
      </c>
      <c r="M48" s="291">
        <f t="shared" si="10"/>
        <v>-52.951699999999995</v>
      </c>
      <c r="N48" s="291">
        <f t="shared" si="11"/>
        <v>0</v>
      </c>
      <c r="O48" s="291">
        <f t="shared" si="12"/>
        <v>-25.872699999999998</v>
      </c>
      <c r="P48" s="291">
        <f t="shared" si="13"/>
        <v>-27.078999999999997</v>
      </c>
      <c r="Q48" s="291">
        <f t="shared" si="14"/>
        <v>0</v>
      </c>
      <c r="R48" s="277">
        <v>0.08</v>
      </c>
      <c r="S48" s="291">
        <v>6.2601922800000001E-2</v>
      </c>
      <c r="T48" s="291">
        <v>6.9000000000000006E-2</v>
      </c>
      <c r="U48" s="228">
        <v>17.018999999999998</v>
      </c>
      <c r="V48" s="293">
        <f t="shared" si="20"/>
        <v>17.230601922799995</v>
      </c>
      <c r="W48" s="291"/>
      <c r="X48" s="291">
        <f>V48-Y48</f>
        <v>17.17726858946666</v>
      </c>
      <c r="Y48" s="291">
        <f>R48*2/3</f>
        <v>5.3333333333333337E-2</v>
      </c>
      <c r="Z48" s="59"/>
      <c r="AA48" s="52"/>
      <c r="AB48" s="52"/>
      <c r="AC48" s="52"/>
      <c r="AD48" s="52"/>
      <c r="AE48" s="52"/>
      <c r="AF48" s="52"/>
      <c r="AG48" s="52"/>
      <c r="AH48" s="52"/>
      <c r="AI48" s="52"/>
      <c r="AJ48" s="68"/>
      <c r="AK48" s="69"/>
      <c r="AL48" s="69"/>
      <c r="AM48" s="69"/>
      <c r="AN48" s="69"/>
    </row>
    <row r="49" spans="1:40" s="67" customFormat="1" ht="96.75" customHeight="1" x14ac:dyDescent="0.2">
      <c r="A49" s="22" t="s">
        <v>229</v>
      </c>
      <c r="B49" s="28" t="s">
        <v>306</v>
      </c>
      <c r="C49" s="292">
        <v>30.248000000000001</v>
      </c>
      <c r="D49" s="291"/>
      <c r="E49" s="291">
        <v>15</v>
      </c>
      <c r="F49" s="291">
        <v>15.247999999999999</v>
      </c>
      <c r="G49" s="291"/>
      <c r="H49" s="292">
        <f t="shared" si="19"/>
        <v>0.504</v>
      </c>
      <c r="I49" s="291"/>
      <c r="J49" s="292">
        <f>0.386+0.084</f>
        <v>0.47000000000000003</v>
      </c>
      <c r="K49" s="291">
        <v>3.4000000000000002E-2</v>
      </c>
      <c r="L49" s="292">
        <v>0</v>
      </c>
      <c r="M49" s="291">
        <f t="shared" si="10"/>
        <v>-29.744</v>
      </c>
      <c r="N49" s="291">
        <f t="shared" si="11"/>
        <v>0</v>
      </c>
      <c r="O49" s="291">
        <f t="shared" si="12"/>
        <v>-14.53</v>
      </c>
      <c r="P49" s="291">
        <f t="shared" si="13"/>
        <v>-15.213999999999999</v>
      </c>
      <c r="Q49" s="291">
        <f t="shared" si="14"/>
        <v>0</v>
      </c>
      <c r="R49" s="277">
        <v>0.115</v>
      </c>
      <c r="S49" s="291">
        <v>8.9763701200000004E-2</v>
      </c>
      <c r="T49" s="291">
        <v>0.23300000000000001</v>
      </c>
      <c r="U49" s="228">
        <v>8.4000000000000005E-2</v>
      </c>
      <c r="V49" s="293">
        <f t="shared" si="20"/>
        <v>0.52176370120000004</v>
      </c>
      <c r="W49" s="291"/>
      <c r="X49" s="291">
        <f>V49-Y49</f>
        <v>0.44509703453333338</v>
      </c>
      <c r="Y49" s="291">
        <f>R49*2/3</f>
        <v>7.6666666666666675E-2</v>
      </c>
      <c r="Z49" s="59"/>
      <c r="AA49" s="52"/>
      <c r="AB49" s="52"/>
      <c r="AC49" s="52"/>
      <c r="AD49" s="52"/>
      <c r="AE49" s="52"/>
      <c r="AF49" s="52"/>
      <c r="AG49" s="52"/>
      <c r="AH49" s="52"/>
      <c r="AI49" s="52"/>
      <c r="AJ49" s="68"/>
      <c r="AK49" s="69"/>
      <c r="AL49" s="69"/>
      <c r="AM49" s="69"/>
      <c r="AN49" s="69"/>
    </row>
    <row r="50" spans="1:40" s="67" customFormat="1" ht="114" customHeight="1" x14ac:dyDescent="0.2">
      <c r="A50" s="22" t="s">
        <v>230</v>
      </c>
      <c r="B50" s="21" t="s">
        <v>282</v>
      </c>
      <c r="C50" s="292">
        <v>24.898</v>
      </c>
      <c r="D50" s="291"/>
      <c r="E50" s="291">
        <v>12</v>
      </c>
      <c r="F50" s="291">
        <v>12.898</v>
      </c>
      <c r="G50" s="291"/>
      <c r="H50" s="292">
        <f t="shared" si="19"/>
        <v>10.919</v>
      </c>
      <c r="I50" s="291"/>
      <c r="J50" s="292">
        <f>0.187+0.072</f>
        <v>0.25900000000000001</v>
      </c>
      <c r="K50" s="291">
        <v>10.66</v>
      </c>
      <c r="L50" s="292">
        <v>0</v>
      </c>
      <c r="M50" s="291">
        <f t="shared" si="10"/>
        <v>-13.978999999999999</v>
      </c>
      <c r="N50" s="291">
        <f t="shared" si="11"/>
        <v>0</v>
      </c>
      <c r="O50" s="291">
        <f t="shared" si="12"/>
        <v>-11.741</v>
      </c>
      <c r="P50" s="291">
        <f t="shared" si="13"/>
        <v>-2.2379999999999995</v>
      </c>
      <c r="Q50" s="291">
        <f t="shared" si="14"/>
        <v>0</v>
      </c>
      <c r="R50" s="277">
        <v>2.8420000000000001</v>
      </c>
      <c r="S50" s="291">
        <v>7.8052758E-2</v>
      </c>
      <c r="T50" s="291">
        <v>0.187</v>
      </c>
      <c r="U50" s="228">
        <v>7.1999999999999995E-2</v>
      </c>
      <c r="V50" s="293">
        <f t="shared" si="20"/>
        <v>3.1790527580000001</v>
      </c>
      <c r="W50" s="291"/>
      <c r="X50" s="291">
        <f>V50-Y50</f>
        <v>1.2843860913333334</v>
      </c>
      <c r="Y50" s="291">
        <f>R50*2/3</f>
        <v>1.8946666666666667</v>
      </c>
      <c r="Z50" s="59"/>
      <c r="AA50" s="52"/>
      <c r="AB50" s="52"/>
      <c r="AC50" s="52"/>
      <c r="AD50" s="52"/>
      <c r="AE50" s="52"/>
      <c r="AF50" s="52"/>
      <c r="AG50" s="52"/>
      <c r="AH50" s="52"/>
      <c r="AI50" s="52"/>
      <c r="AJ50" s="68"/>
      <c r="AK50" s="69"/>
      <c r="AL50" s="69"/>
      <c r="AM50" s="69"/>
      <c r="AN50" s="69"/>
    </row>
    <row r="51" spans="1:40" s="13" customFormat="1" ht="60" x14ac:dyDescent="0.25">
      <c r="A51" s="22" t="s">
        <v>231</v>
      </c>
      <c r="B51" s="21" t="s">
        <v>283</v>
      </c>
      <c r="C51" s="292">
        <v>0.22800000000000001</v>
      </c>
      <c r="D51" s="291"/>
      <c r="E51" s="291">
        <v>0.22800000000000001</v>
      </c>
      <c r="F51" s="291"/>
      <c r="G51" s="291"/>
      <c r="H51" s="292">
        <f t="shared" si="19"/>
        <v>8.9300000000000004E-2</v>
      </c>
      <c r="I51" s="291"/>
      <c r="J51" s="291">
        <f>0.089+0.0002+0.0001</f>
        <v>8.9300000000000004E-2</v>
      </c>
      <c r="K51" s="291"/>
      <c r="L51" s="292"/>
      <c r="M51" s="291">
        <f t="shared" si="10"/>
        <v>-0.13869999999999999</v>
      </c>
      <c r="N51" s="291">
        <f t="shared" si="11"/>
        <v>0</v>
      </c>
      <c r="O51" s="291">
        <f t="shared" si="12"/>
        <v>-0.13869999999999999</v>
      </c>
      <c r="P51" s="291">
        <f t="shared" si="13"/>
        <v>0</v>
      </c>
      <c r="Q51" s="291">
        <f t="shared" si="14"/>
        <v>0</v>
      </c>
      <c r="R51" s="277">
        <v>0</v>
      </c>
      <c r="S51" s="291">
        <v>2.1322640000000001E-4</v>
      </c>
      <c r="T51" s="291">
        <v>0</v>
      </c>
      <c r="U51" s="291">
        <v>2.0000000000000001E-4</v>
      </c>
      <c r="V51" s="293">
        <f t="shared" si="20"/>
        <v>4.1322640000000002E-4</v>
      </c>
      <c r="W51" s="291"/>
      <c r="X51" s="291">
        <v>2.0000000000000001E-4</v>
      </c>
      <c r="Y51" s="291"/>
      <c r="Z51" s="59"/>
      <c r="AA51" s="52"/>
      <c r="AB51" s="52"/>
      <c r="AC51" s="52"/>
      <c r="AD51" s="52"/>
      <c r="AE51" s="52"/>
      <c r="AF51" s="52"/>
      <c r="AG51" s="52"/>
      <c r="AH51" s="52"/>
      <c r="AI51" s="52"/>
      <c r="AJ51" s="60"/>
      <c r="AK51" s="46"/>
      <c r="AL51" s="46"/>
      <c r="AM51" s="46"/>
      <c r="AN51" s="46"/>
    </row>
    <row r="52" spans="1:40" s="13" customFormat="1" ht="60" x14ac:dyDescent="0.25">
      <c r="A52" s="22" t="s">
        <v>232</v>
      </c>
      <c r="B52" s="21" t="s">
        <v>284</v>
      </c>
      <c r="C52" s="292">
        <v>0.252</v>
      </c>
      <c r="D52" s="291"/>
      <c r="E52" s="291">
        <v>0.252</v>
      </c>
      <c r="F52" s="291"/>
      <c r="G52" s="291"/>
      <c r="H52" s="292">
        <v>6.5138062152255996E-2</v>
      </c>
      <c r="I52" s="291"/>
      <c r="J52" s="291">
        <f>0.065+0.0002</f>
        <v>6.5200000000000008E-2</v>
      </c>
      <c r="K52" s="291"/>
      <c r="L52" s="292">
        <f t="shared" ref="L52:L62" si="21">H52-J52</f>
        <v>-6.1937847744011898E-5</v>
      </c>
      <c r="M52" s="291">
        <f t="shared" si="10"/>
        <v>-0.18686193784774402</v>
      </c>
      <c r="N52" s="291">
        <f t="shared" si="11"/>
        <v>0</v>
      </c>
      <c r="O52" s="291">
        <f t="shared" si="12"/>
        <v>-0.18679999999999999</v>
      </c>
      <c r="P52" s="291">
        <f t="shared" si="13"/>
        <v>0</v>
      </c>
      <c r="Q52" s="291">
        <f t="shared" si="14"/>
        <v>-6.1937847744011898E-5</v>
      </c>
      <c r="R52" s="277">
        <v>0</v>
      </c>
      <c r="S52" s="291">
        <v>2.134464E-4</v>
      </c>
      <c r="T52" s="291">
        <v>0</v>
      </c>
      <c r="U52" s="291">
        <v>2.0000000000000001E-4</v>
      </c>
      <c r="V52" s="293">
        <f t="shared" si="20"/>
        <v>4.1344640000000001E-4</v>
      </c>
      <c r="W52" s="291"/>
      <c r="X52" s="291">
        <v>2.0000000000000001E-4</v>
      </c>
      <c r="Y52" s="291"/>
      <c r="Z52" s="59"/>
      <c r="AA52" s="52"/>
      <c r="AB52" s="52"/>
      <c r="AC52" s="52"/>
      <c r="AD52" s="52"/>
      <c r="AE52" s="52"/>
      <c r="AF52" s="52"/>
      <c r="AG52" s="52"/>
      <c r="AH52" s="52"/>
      <c r="AI52" s="52"/>
      <c r="AJ52" s="60"/>
      <c r="AK52" s="46"/>
      <c r="AL52" s="46"/>
      <c r="AM52" s="46"/>
      <c r="AN52" s="46"/>
    </row>
    <row r="53" spans="1:40" s="13" customFormat="1" ht="60" x14ac:dyDescent="0.25">
      <c r="A53" s="22" t="s">
        <v>233</v>
      </c>
      <c r="B53" s="25" t="s">
        <v>285</v>
      </c>
      <c r="C53" s="292">
        <v>0.66900000000000004</v>
      </c>
      <c r="D53" s="291"/>
      <c r="E53" s="291">
        <v>0.66900000000000004</v>
      </c>
      <c r="F53" s="291"/>
      <c r="G53" s="291"/>
      <c r="H53" s="292">
        <v>0.148243675872267</v>
      </c>
      <c r="I53" s="291"/>
      <c r="J53" s="291">
        <f>0.148+0.0002</f>
        <v>0.1482</v>
      </c>
      <c r="K53" s="291"/>
      <c r="L53" s="292">
        <f t="shared" si="21"/>
        <v>4.3675872267001647E-5</v>
      </c>
      <c r="M53" s="291">
        <f t="shared" si="10"/>
        <v>-0.52075632412773309</v>
      </c>
      <c r="N53" s="291">
        <f t="shared" si="11"/>
        <v>0</v>
      </c>
      <c r="O53" s="291">
        <f t="shared" si="12"/>
        <v>-0.52080000000000004</v>
      </c>
      <c r="P53" s="291">
        <f t="shared" si="13"/>
        <v>0</v>
      </c>
      <c r="Q53" s="291">
        <f t="shared" si="14"/>
        <v>4.3675872267001647E-5</v>
      </c>
      <c r="R53" s="277">
        <v>0</v>
      </c>
      <c r="S53" s="291">
        <v>2.1322640000000001E-4</v>
      </c>
      <c r="T53" s="291">
        <v>0</v>
      </c>
      <c r="U53" s="291">
        <v>2.0000000000000001E-4</v>
      </c>
      <c r="V53" s="293">
        <f t="shared" si="20"/>
        <v>4.1322640000000002E-4</v>
      </c>
      <c r="W53" s="291"/>
      <c r="X53" s="291">
        <v>2.0000000000000001E-4</v>
      </c>
      <c r="Y53" s="291"/>
      <c r="Z53" s="59"/>
      <c r="AA53" s="52"/>
      <c r="AB53" s="52"/>
      <c r="AC53" s="52"/>
      <c r="AD53" s="52"/>
      <c r="AE53" s="52"/>
      <c r="AF53" s="52"/>
      <c r="AG53" s="52"/>
      <c r="AH53" s="52"/>
      <c r="AI53" s="52"/>
      <c r="AJ53" s="60"/>
      <c r="AK53" s="46"/>
      <c r="AL53" s="46"/>
      <c r="AM53" s="46"/>
      <c r="AN53" s="46"/>
    </row>
    <row r="54" spans="1:40" s="67" customFormat="1" ht="45" x14ac:dyDescent="0.2">
      <c r="A54" s="275" t="s">
        <v>234</v>
      </c>
      <c r="B54" s="21" t="s">
        <v>177</v>
      </c>
      <c r="C54" s="15">
        <v>0</v>
      </c>
      <c r="D54" s="52"/>
      <c r="E54" s="52"/>
      <c r="F54" s="52"/>
      <c r="G54" s="52"/>
      <c r="H54" s="15">
        <v>0.14545470999999999</v>
      </c>
      <c r="I54" s="52"/>
      <c r="J54" s="15">
        <v>0</v>
      </c>
      <c r="K54" s="52"/>
      <c r="L54" s="15">
        <f t="shared" si="21"/>
        <v>0.14545470999999999</v>
      </c>
      <c r="M54" s="52">
        <f t="shared" si="10"/>
        <v>0.14545470999999999</v>
      </c>
      <c r="N54" s="52">
        <f t="shared" si="11"/>
        <v>0</v>
      </c>
      <c r="O54" s="52">
        <f t="shared" si="12"/>
        <v>0</v>
      </c>
      <c r="P54" s="52">
        <f t="shared" si="13"/>
        <v>0</v>
      </c>
      <c r="Q54" s="52">
        <f t="shared" si="14"/>
        <v>0.14545470999999999</v>
      </c>
      <c r="R54" s="26"/>
      <c r="S54" s="52"/>
      <c r="T54" s="52"/>
      <c r="U54" s="52"/>
      <c r="V54" s="59">
        <f t="shared" si="20"/>
        <v>0</v>
      </c>
      <c r="W54" s="52"/>
      <c r="X54" s="52"/>
      <c r="Y54" s="52"/>
      <c r="Z54" s="59"/>
      <c r="AA54" s="52"/>
      <c r="AB54" s="52"/>
      <c r="AC54" s="52"/>
      <c r="AD54" s="52"/>
      <c r="AE54" s="52"/>
      <c r="AF54" s="52"/>
      <c r="AG54" s="52"/>
      <c r="AH54" s="52"/>
      <c r="AI54" s="52"/>
      <c r="AJ54" s="68"/>
      <c r="AK54" s="69"/>
      <c r="AL54" s="69"/>
      <c r="AM54" s="69"/>
      <c r="AN54" s="69"/>
    </row>
    <row r="55" spans="1:40" s="67" customFormat="1" ht="65.099999999999994" customHeight="1" x14ac:dyDescent="0.2">
      <c r="A55" s="22" t="s">
        <v>235</v>
      </c>
      <c r="B55" s="25" t="s">
        <v>286</v>
      </c>
      <c r="C55" s="292">
        <v>0.42399999999999999</v>
      </c>
      <c r="D55" s="291"/>
      <c r="E55" s="291">
        <v>0.42399999999999999</v>
      </c>
      <c r="F55" s="291"/>
      <c r="G55" s="291"/>
      <c r="H55" s="292">
        <f t="shared" ref="H55:H60" si="22">I55+J55+K55+L55</f>
        <v>3.6591039999999998E-2</v>
      </c>
      <c r="I55" s="291"/>
      <c r="J55" s="292"/>
      <c r="K55" s="291"/>
      <c r="L55" s="292">
        <f>0.03644404+0.000147</f>
        <v>3.6591039999999998E-2</v>
      </c>
      <c r="M55" s="291">
        <f t="shared" si="10"/>
        <v>-0.38740895999999997</v>
      </c>
      <c r="N55" s="291">
        <f t="shared" si="11"/>
        <v>0</v>
      </c>
      <c r="O55" s="291">
        <f t="shared" si="12"/>
        <v>-0.42399999999999999</v>
      </c>
      <c r="P55" s="291">
        <f t="shared" si="13"/>
        <v>0</v>
      </c>
      <c r="Q55" s="291">
        <f t="shared" si="14"/>
        <v>3.6591039999999998E-2</v>
      </c>
      <c r="R55" s="277">
        <v>0</v>
      </c>
      <c r="S55" s="291">
        <v>2.1346639999999999E-4</v>
      </c>
      <c r="T55" s="291">
        <v>0</v>
      </c>
      <c r="U55" s="228">
        <v>0.35899999999999999</v>
      </c>
      <c r="V55" s="293">
        <f t="shared" si="20"/>
        <v>0.35921346639999996</v>
      </c>
      <c r="W55" s="291"/>
      <c r="X55" s="291">
        <v>0.35899999999999999</v>
      </c>
      <c r="Y55" s="291"/>
      <c r="Z55" s="59"/>
      <c r="AA55" s="52"/>
      <c r="AB55" s="52"/>
      <c r="AC55" s="52"/>
      <c r="AD55" s="52"/>
      <c r="AE55" s="52"/>
      <c r="AF55" s="52"/>
      <c r="AG55" s="52"/>
      <c r="AH55" s="52"/>
      <c r="AI55" s="52"/>
      <c r="AJ55" s="68"/>
      <c r="AK55" s="69"/>
      <c r="AL55" s="69"/>
      <c r="AM55" s="69"/>
      <c r="AN55" s="69"/>
    </row>
    <row r="56" spans="1:40" s="13" customFormat="1" ht="60" x14ac:dyDescent="0.25">
      <c r="A56" s="22" t="s">
        <v>236</v>
      </c>
      <c r="B56" s="21" t="s">
        <v>287</v>
      </c>
      <c r="C56" s="292">
        <v>0.34399999999999997</v>
      </c>
      <c r="D56" s="291"/>
      <c r="E56" s="291">
        <v>0.34399999999999997</v>
      </c>
      <c r="F56" s="291"/>
      <c r="G56" s="291"/>
      <c r="H56" s="292">
        <f t="shared" si="22"/>
        <v>0.11499999999999999</v>
      </c>
      <c r="I56" s="291"/>
      <c r="J56" s="292">
        <f>0.037+0.078</f>
        <v>0.11499999999999999</v>
      </c>
      <c r="K56" s="291"/>
      <c r="L56" s="292">
        <v>0</v>
      </c>
      <c r="M56" s="291">
        <f t="shared" si="10"/>
        <v>-0.22899999999999998</v>
      </c>
      <c r="N56" s="291">
        <f t="shared" si="11"/>
        <v>0</v>
      </c>
      <c r="O56" s="291">
        <f t="shared" si="12"/>
        <v>-0.22899999999999998</v>
      </c>
      <c r="P56" s="291">
        <f t="shared" si="13"/>
        <v>0</v>
      </c>
      <c r="Q56" s="291">
        <f t="shared" si="14"/>
        <v>0</v>
      </c>
      <c r="R56" s="277">
        <v>4.9000000000000002E-2</v>
      </c>
      <c r="S56" s="291">
        <v>1.9689640000000001E-4</v>
      </c>
      <c r="T56" s="291">
        <v>0</v>
      </c>
      <c r="U56" s="291">
        <v>2.0000000000000001E-4</v>
      </c>
      <c r="V56" s="293">
        <f t="shared" si="20"/>
        <v>4.9396896400000001E-2</v>
      </c>
      <c r="W56" s="291"/>
      <c r="X56" s="291">
        <f>V56-Y56</f>
        <v>1.6730229733333331E-2</v>
      </c>
      <c r="Y56" s="291">
        <f>R56*2/3</f>
        <v>3.266666666666667E-2</v>
      </c>
      <c r="Z56" s="59"/>
      <c r="AA56" s="52"/>
      <c r="AB56" s="52"/>
      <c r="AC56" s="52"/>
      <c r="AD56" s="52"/>
      <c r="AE56" s="52"/>
      <c r="AF56" s="52"/>
      <c r="AG56" s="52"/>
      <c r="AH56" s="52"/>
      <c r="AI56" s="52"/>
      <c r="AJ56" s="60"/>
      <c r="AK56" s="46"/>
      <c r="AL56" s="46"/>
      <c r="AM56" s="46"/>
      <c r="AN56" s="46"/>
    </row>
    <row r="57" spans="1:40" s="13" customFormat="1" ht="65.25" customHeight="1" x14ac:dyDescent="0.25">
      <c r="A57" s="22" t="s">
        <v>237</v>
      </c>
      <c r="B57" s="21" t="s">
        <v>292</v>
      </c>
      <c r="C57" s="292">
        <v>0.627</v>
      </c>
      <c r="D57" s="291"/>
      <c r="E57" s="291">
        <v>0.3</v>
      </c>
      <c r="F57" s="291">
        <v>0.32700000000000001</v>
      </c>
      <c r="G57" s="291"/>
      <c r="H57" s="292">
        <f t="shared" si="22"/>
        <v>0.25600000000000001</v>
      </c>
      <c r="I57" s="291"/>
      <c r="J57" s="292">
        <f>0.068+0.188</f>
        <v>0.25600000000000001</v>
      </c>
      <c r="K57" s="291"/>
      <c r="L57" s="292">
        <v>0</v>
      </c>
      <c r="M57" s="291">
        <f t="shared" si="10"/>
        <v>-0.371</v>
      </c>
      <c r="N57" s="291">
        <f t="shared" si="11"/>
        <v>0</v>
      </c>
      <c r="O57" s="291">
        <f t="shared" si="12"/>
        <v>-4.3999999999999984E-2</v>
      </c>
      <c r="P57" s="291">
        <f t="shared" si="13"/>
        <v>-0.32700000000000001</v>
      </c>
      <c r="Q57" s="291">
        <f t="shared" si="14"/>
        <v>0</v>
      </c>
      <c r="R57" s="277">
        <v>6.8000000000000005E-2</v>
      </c>
      <c r="S57" s="291">
        <v>2.7682639999999996E-4</v>
      </c>
      <c r="T57" s="291">
        <v>0</v>
      </c>
      <c r="U57" s="291">
        <v>2.0000000000000001E-4</v>
      </c>
      <c r="V57" s="293">
        <f t="shared" si="20"/>
        <v>6.847682640000001E-2</v>
      </c>
      <c r="W57" s="291"/>
      <c r="X57" s="291">
        <f>V57-Y57</f>
        <v>2.3143493066666673E-2</v>
      </c>
      <c r="Y57" s="291">
        <f>R57*2/3</f>
        <v>4.5333333333333337E-2</v>
      </c>
      <c r="Z57" s="59"/>
      <c r="AA57" s="52"/>
      <c r="AB57" s="52"/>
      <c r="AC57" s="52"/>
      <c r="AD57" s="52"/>
      <c r="AE57" s="52"/>
      <c r="AF57" s="52"/>
      <c r="AG57" s="52"/>
      <c r="AH57" s="52"/>
      <c r="AI57" s="52"/>
      <c r="AJ57" s="60"/>
      <c r="AK57" s="46"/>
      <c r="AL57" s="46"/>
      <c r="AM57" s="46"/>
      <c r="AN57" s="46"/>
    </row>
    <row r="58" spans="1:40" s="13" customFormat="1" ht="30" x14ac:dyDescent="0.25">
      <c r="A58" s="22" t="s">
        <v>238</v>
      </c>
      <c r="B58" s="21" t="s">
        <v>165</v>
      </c>
      <c r="C58" s="292">
        <v>10.288</v>
      </c>
      <c r="D58" s="291"/>
      <c r="E58" s="291">
        <v>10.288</v>
      </c>
      <c r="F58" s="291"/>
      <c r="G58" s="291"/>
      <c r="H58" s="292">
        <f t="shared" si="22"/>
        <v>0.96199999999999997</v>
      </c>
      <c r="I58" s="291"/>
      <c r="J58" s="292">
        <f>0.007+0.955</f>
        <v>0.96199999999999997</v>
      </c>
      <c r="K58" s="291"/>
      <c r="L58" s="292">
        <v>0</v>
      </c>
      <c r="M58" s="291">
        <f t="shared" si="10"/>
        <v>-9.3260000000000005</v>
      </c>
      <c r="N58" s="291">
        <f t="shared" si="11"/>
        <v>0</v>
      </c>
      <c r="O58" s="291">
        <f t="shared" si="12"/>
        <v>-9.3260000000000005</v>
      </c>
      <c r="P58" s="291">
        <f t="shared" si="13"/>
        <v>0</v>
      </c>
      <c r="Q58" s="291">
        <f t="shared" si="14"/>
        <v>0</v>
      </c>
      <c r="R58" s="277"/>
      <c r="S58" s="291"/>
      <c r="T58" s="291">
        <v>7.0000000000000001E-3</v>
      </c>
      <c r="U58" s="228">
        <v>6.6120000000000001</v>
      </c>
      <c r="V58" s="293">
        <f t="shared" si="20"/>
        <v>6.6189999999999998</v>
      </c>
      <c r="W58" s="291"/>
      <c r="X58" s="291">
        <f>V58-Y58</f>
        <v>6.6189999999999998</v>
      </c>
      <c r="Y58" s="291"/>
      <c r="Z58" s="59"/>
      <c r="AA58" s="52"/>
      <c r="AB58" s="52"/>
      <c r="AC58" s="52"/>
      <c r="AD58" s="52"/>
      <c r="AE58" s="52"/>
      <c r="AF58" s="52"/>
      <c r="AG58" s="52"/>
      <c r="AH58" s="52"/>
      <c r="AI58" s="52"/>
      <c r="AJ58" s="60"/>
      <c r="AK58" s="46"/>
      <c r="AL58" s="46"/>
      <c r="AM58" s="46"/>
      <c r="AN58" s="46"/>
    </row>
    <row r="59" spans="1:40" s="67" customFormat="1" ht="60" x14ac:dyDescent="0.2">
      <c r="A59" s="22" t="s">
        <v>239</v>
      </c>
      <c r="B59" s="21" t="s">
        <v>153</v>
      </c>
      <c r="C59" s="292">
        <v>68.921999999999997</v>
      </c>
      <c r="D59" s="291">
        <v>20.006</v>
      </c>
      <c r="E59" s="291">
        <v>33</v>
      </c>
      <c r="F59" s="291">
        <v>15.915999999999997</v>
      </c>
      <c r="G59" s="291"/>
      <c r="H59" s="292">
        <f t="shared" si="22"/>
        <v>4.4339999999999993</v>
      </c>
      <c r="I59" s="291"/>
      <c r="J59" s="292">
        <v>0</v>
      </c>
      <c r="K59" s="291">
        <f>4.305+0.129</f>
        <v>4.4339999999999993</v>
      </c>
      <c r="L59" s="292">
        <v>0</v>
      </c>
      <c r="M59" s="291">
        <f t="shared" si="10"/>
        <v>-64.488</v>
      </c>
      <c r="N59" s="291">
        <f t="shared" si="11"/>
        <v>-20.006</v>
      </c>
      <c r="O59" s="291">
        <f t="shared" si="12"/>
        <v>-33</v>
      </c>
      <c r="P59" s="291">
        <f t="shared" si="13"/>
        <v>-11.481999999999998</v>
      </c>
      <c r="Q59" s="291">
        <f t="shared" si="14"/>
        <v>0</v>
      </c>
      <c r="R59" s="277">
        <v>0.11700000000000001</v>
      </c>
      <c r="S59" s="291">
        <v>0.13829208879999999</v>
      </c>
      <c r="T59" s="291">
        <v>0.152</v>
      </c>
      <c r="U59" s="290">
        <v>0.129</v>
      </c>
      <c r="V59" s="293">
        <f t="shared" si="20"/>
        <v>0.53629208880000001</v>
      </c>
      <c r="W59" s="291"/>
      <c r="X59" s="291">
        <f>V59-Y59</f>
        <v>0.4582920888</v>
      </c>
      <c r="Y59" s="291">
        <f>R59*2/3</f>
        <v>7.8E-2</v>
      </c>
      <c r="Z59" s="59"/>
      <c r="AA59" s="15"/>
      <c r="AB59" s="52"/>
      <c r="AC59" s="52"/>
      <c r="AD59" s="52"/>
      <c r="AE59" s="52"/>
      <c r="AF59" s="52"/>
      <c r="AG59" s="52"/>
      <c r="AH59" s="15"/>
      <c r="AI59" s="15"/>
      <c r="AJ59" s="15"/>
      <c r="AK59" s="24"/>
      <c r="AL59" s="24"/>
      <c r="AM59" s="24"/>
      <c r="AN59" s="24"/>
    </row>
    <row r="60" spans="1:40" s="67" customFormat="1" ht="90" x14ac:dyDescent="0.2">
      <c r="A60" s="22" t="s">
        <v>240</v>
      </c>
      <c r="B60" s="21" t="s">
        <v>288</v>
      </c>
      <c r="C60" s="292">
        <v>104.74300000000001</v>
      </c>
      <c r="D60" s="291">
        <v>10.74</v>
      </c>
      <c r="E60" s="291">
        <v>31.334333333333337</v>
      </c>
      <c r="F60" s="291">
        <v>31</v>
      </c>
      <c r="G60" s="291">
        <v>31.668666666666674</v>
      </c>
      <c r="H60" s="292">
        <f t="shared" si="22"/>
        <v>76.11699999999999</v>
      </c>
      <c r="I60" s="292">
        <v>10.74</v>
      </c>
      <c r="J60" s="292">
        <f>5.549+20.929</f>
        <v>26.477999999999998</v>
      </c>
      <c r="K60" s="292">
        <v>31</v>
      </c>
      <c r="L60" s="292">
        <f>0.102+7.797</f>
        <v>7.899</v>
      </c>
      <c r="M60" s="291">
        <f t="shared" si="10"/>
        <v>-28.626000000000019</v>
      </c>
      <c r="N60" s="291">
        <f t="shared" si="11"/>
        <v>0</v>
      </c>
      <c r="O60" s="291">
        <f t="shared" si="12"/>
        <v>-4.8563333333333389</v>
      </c>
      <c r="P60" s="291">
        <f t="shared" si="13"/>
        <v>0</v>
      </c>
      <c r="Q60" s="291">
        <f t="shared" si="14"/>
        <v>-23.769666666666673</v>
      </c>
      <c r="R60" s="277">
        <v>5.8000000000000003E-2</v>
      </c>
      <c r="S60" s="291">
        <v>4.5416569999999996E-2</v>
      </c>
      <c r="T60" s="291">
        <v>4.7089999999999996</v>
      </c>
      <c r="U60" s="228">
        <v>3.5000000000000003E-2</v>
      </c>
      <c r="V60" s="293">
        <f t="shared" si="20"/>
        <v>4.84741657</v>
      </c>
      <c r="W60" s="291"/>
      <c r="X60" s="291">
        <f>V60-Y60</f>
        <v>4.8087499033333332</v>
      </c>
      <c r="Y60" s="291">
        <f>R60*2/3</f>
        <v>3.8666666666666669E-2</v>
      </c>
      <c r="Z60" s="59"/>
      <c r="AA60" s="52"/>
      <c r="AB60" s="52"/>
      <c r="AC60" s="52"/>
      <c r="AD60" s="52"/>
      <c r="AE60" s="52"/>
      <c r="AF60" s="52"/>
      <c r="AG60" s="52"/>
      <c r="AH60" s="52"/>
      <c r="AI60" s="52"/>
      <c r="AJ60" s="68"/>
      <c r="AK60" s="69"/>
      <c r="AL60" s="69"/>
      <c r="AM60" s="69"/>
      <c r="AN60" s="69"/>
    </row>
    <row r="61" spans="1:40" s="67" customFormat="1" ht="45" x14ac:dyDescent="0.2">
      <c r="A61" s="22" t="s">
        <v>241</v>
      </c>
      <c r="B61" s="14" t="s">
        <v>289</v>
      </c>
      <c r="C61" s="15">
        <v>0</v>
      </c>
      <c r="D61" s="52"/>
      <c r="E61" s="52"/>
      <c r="F61" s="52"/>
      <c r="G61" s="52"/>
      <c r="H61" s="15">
        <v>0.14318099439999998</v>
      </c>
      <c r="I61" s="52"/>
      <c r="J61" s="52"/>
      <c r="K61" s="52"/>
      <c r="L61" s="15">
        <f t="shared" si="21"/>
        <v>0.14318099439999998</v>
      </c>
      <c r="M61" s="52">
        <f t="shared" si="10"/>
        <v>0.14318099439999998</v>
      </c>
      <c r="N61" s="52">
        <f t="shared" si="11"/>
        <v>0</v>
      </c>
      <c r="O61" s="52">
        <f t="shared" si="12"/>
        <v>0</v>
      </c>
      <c r="P61" s="52">
        <f t="shared" si="13"/>
        <v>0</v>
      </c>
      <c r="Q61" s="52">
        <f t="shared" si="14"/>
        <v>0.14318099439999998</v>
      </c>
      <c r="R61" s="26">
        <v>0.14299999999999999</v>
      </c>
      <c r="S61" s="52"/>
      <c r="T61" s="52"/>
      <c r="U61" s="52"/>
      <c r="V61" s="59">
        <f>U61+T61+S61+R61</f>
        <v>0.14299999999999999</v>
      </c>
      <c r="W61" s="52"/>
      <c r="X61" s="52"/>
      <c r="Y61" s="52">
        <v>0.14299999999999999</v>
      </c>
      <c r="Z61" s="59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43"/>
      <c r="AL61" s="43"/>
      <c r="AM61" s="43"/>
      <c r="AN61" s="43"/>
    </row>
    <row r="62" spans="1:40" s="67" customFormat="1" ht="43.15" customHeight="1" x14ac:dyDescent="0.2">
      <c r="A62" s="31">
        <v>3</v>
      </c>
      <c r="B62" s="30" t="s">
        <v>154</v>
      </c>
      <c r="C62" s="155">
        <v>0.54700000000000004</v>
      </c>
      <c r="D62" s="155"/>
      <c r="E62" s="155"/>
      <c r="F62" s="155"/>
      <c r="G62" s="155">
        <v>0.54700000000000004</v>
      </c>
      <c r="H62" s="155">
        <v>0.75390000000000001</v>
      </c>
      <c r="I62" s="155"/>
      <c r="J62" s="155"/>
      <c r="K62" s="155"/>
      <c r="L62" s="285">
        <f t="shared" si="21"/>
        <v>0.75390000000000001</v>
      </c>
      <c r="M62" s="156">
        <f t="shared" si="10"/>
        <v>0.20689999999999997</v>
      </c>
      <c r="N62" s="156">
        <f t="shared" si="11"/>
        <v>0</v>
      </c>
      <c r="O62" s="156">
        <f t="shared" si="12"/>
        <v>0</v>
      </c>
      <c r="P62" s="156">
        <f t="shared" si="13"/>
        <v>0</v>
      </c>
      <c r="Q62" s="156">
        <f t="shared" si="14"/>
        <v>0.20689999999999997</v>
      </c>
      <c r="R62" s="155"/>
      <c r="S62" s="155"/>
      <c r="T62" s="155">
        <v>2E-3</v>
      </c>
      <c r="U62" s="155"/>
      <c r="V62" s="251">
        <f>U62+T62+S62+R62</f>
        <v>2E-3</v>
      </c>
      <c r="W62" s="155"/>
      <c r="X62" s="155"/>
      <c r="Y62" s="155"/>
      <c r="Z62" s="155">
        <v>2E-3</v>
      </c>
      <c r="AA62" s="156"/>
      <c r="AB62" s="156"/>
      <c r="AC62" s="156"/>
      <c r="AD62" s="156"/>
      <c r="AE62" s="156"/>
      <c r="AF62" s="156"/>
      <c r="AG62" s="156"/>
      <c r="AH62" s="156"/>
      <c r="AI62" s="156"/>
      <c r="AJ62" s="157"/>
      <c r="AK62" s="158"/>
      <c r="AL62" s="158"/>
      <c r="AM62" s="158"/>
      <c r="AN62" s="158"/>
    </row>
    <row r="63" spans="1:40" s="267" customFormat="1" ht="42.75" x14ac:dyDescent="0.25">
      <c r="A63" s="29"/>
      <c r="B63" s="20" t="s">
        <v>23</v>
      </c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268"/>
      <c r="AB63" s="268"/>
      <c r="AC63" s="268"/>
      <c r="AD63" s="268"/>
      <c r="AE63" s="268"/>
      <c r="AF63" s="268"/>
      <c r="AG63" s="268"/>
      <c r="AH63" s="268"/>
      <c r="AI63" s="268"/>
      <c r="AJ63" s="268"/>
      <c r="AK63" s="268"/>
      <c r="AL63" s="268"/>
      <c r="AM63" s="268"/>
      <c r="AN63" s="268"/>
    </row>
    <row r="67" spans="2:21" ht="15.6" customHeight="1" x14ac:dyDescent="0.2">
      <c r="B67" s="313" t="s">
        <v>319</v>
      </c>
      <c r="C67" s="313"/>
      <c r="D67" s="313"/>
      <c r="E67" s="313"/>
      <c r="F67" s="313"/>
      <c r="G67" s="313"/>
      <c r="H67" s="313"/>
      <c r="I67" s="231"/>
      <c r="J67" s="231"/>
      <c r="K67" s="314" t="s">
        <v>320</v>
      </c>
      <c r="L67" s="314"/>
      <c r="M67" s="314"/>
      <c r="N67" s="314"/>
      <c r="O67" s="314"/>
      <c r="P67" s="314"/>
      <c r="Q67" s="314"/>
      <c r="R67" s="314"/>
      <c r="S67" s="314"/>
      <c r="T67" s="314"/>
    </row>
    <row r="68" spans="2:21" ht="15.6" customHeight="1" x14ac:dyDescent="0.2">
      <c r="B68" s="230"/>
      <c r="C68" s="230"/>
      <c r="D68" s="230"/>
      <c r="E68" s="230"/>
      <c r="F68" s="230"/>
      <c r="G68" s="230"/>
      <c r="H68" s="230"/>
      <c r="I68" s="231"/>
      <c r="J68" s="231"/>
      <c r="K68" s="231"/>
      <c r="L68" s="231"/>
      <c r="M68" s="231"/>
      <c r="N68" s="231"/>
      <c r="O68" s="231"/>
      <c r="P68" s="231"/>
      <c r="Q68" s="231"/>
      <c r="R68" s="231"/>
      <c r="S68" s="162"/>
      <c r="T68" s="162"/>
      <c r="U68" s="82"/>
    </row>
    <row r="69" spans="2:21" ht="18.75" x14ac:dyDescent="0.2">
      <c r="B69" s="232"/>
      <c r="C69" s="92"/>
      <c r="D69" s="92"/>
      <c r="E69" s="92"/>
      <c r="F69" s="92"/>
      <c r="G69" s="92"/>
      <c r="H69" s="93"/>
      <c r="I69" s="231"/>
      <c r="J69" s="231"/>
      <c r="K69" s="231"/>
      <c r="L69" s="231"/>
      <c r="M69" s="231"/>
      <c r="N69" s="231"/>
      <c r="O69" s="231"/>
      <c r="P69" s="95"/>
      <c r="Q69" s="95"/>
      <c r="R69" s="95"/>
      <c r="S69" s="94"/>
      <c r="T69" s="95"/>
    </row>
    <row r="70" spans="2:21" ht="18.75" x14ac:dyDescent="0.2">
      <c r="B70" s="315" t="s">
        <v>308</v>
      </c>
      <c r="C70" s="315"/>
      <c r="D70" s="315"/>
      <c r="E70" s="315"/>
      <c r="F70" s="315"/>
      <c r="G70" s="315"/>
      <c r="H70" s="315"/>
      <c r="I70" s="231"/>
      <c r="J70" s="231"/>
      <c r="K70" s="314" t="s">
        <v>309</v>
      </c>
      <c r="L70" s="314"/>
      <c r="M70" s="314"/>
      <c r="N70" s="314"/>
      <c r="O70" s="314"/>
      <c r="P70" s="314"/>
      <c r="Q70" s="314"/>
      <c r="R70" s="314"/>
      <c r="S70" s="314"/>
      <c r="T70" s="314"/>
    </row>
    <row r="71" spans="2:21" ht="18.75" x14ac:dyDescent="0.2">
      <c r="B71" s="230"/>
      <c r="C71" s="231"/>
      <c r="D71" s="98"/>
      <c r="E71" s="99"/>
      <c r="F71" s="231"/>
      <c r="G71" s="100"/>
      <c r="H71" s="231"/>
      <c r="I71" s="231"/>
      <c r="J71" s="231"/>
      <c r="K71" s="231"/>
      <c r="L71" s="231"/>
      <c r="M71" s="231"/>
      <c r="N71" s="231"/>
      <c r="O71" s="231"/>
      <c r="P71" s="231"/>
      <c r="Q71" s="231"/>
      <c r="R71" s="231"/>
      <c r="S71" s="90"/>
      <c r="T71" s="90"/>
    </row>
  </sheetData>
  <autoFilter ref="A14:AN63"/>
  <mergeCells count="23">
    <mergeCell ref="B70:H70"/>
    <mergeCell ref="K70:T70"/>
    <mergeCell ref="A9:AH9"/>
    <mergeCell ref="A11:A13"/>
    <mergeCell ref="B11:B13"/>
    <mergeCell ref="C11:G12"/>
    <mergeCell ref="H11:L12"/>
    <mergeCell ref="M11:Q12"/>
    <mergeCell ref="AA12:AD12"/>
    <mergeCell ref="AE12:AH12"/>
    <mergeCell ref="AA11:AN11"/>
    <mergeCell ref="R11:Z12"/>
    <mergeCell ref="B67:H67"/>
    <mergeCell ref="K67:T67"/>
    <mergeCell ref="AI12:AM12"/>
    <mergeCell ref="AN12:AN13"/>
    <mergeCell ref="AC5:AN5"/>
    <mergeCell ref="AI8:AN8"/>
    <mergeCell ref="AJ1:AN1"/>
    <mergeCell ref="AI4:AN4"/>
    <mergeCell ref="AK2:AN2"/>
    <mergeCell ref="AC6:AN6"/>
    <mergeCell ref="AF7:AN7"/>
  </mergeCells>
  <dataValidations count="1">
    <dataValidation allowBlank="1" showInputMessage="1" showErrorMessage="1" errorTitle="ОШИБКА ВВОДА" error="Необходимо вводить только числа с использованием точки в качестве десятичного разделителя" sqref="C26:AN27 C24:AN24"/>
  </dataValidations>
  <pageMargins left="0.35433070866141736" right="0.23622047244094491" top="0.82677165354330717" bottom="0.47244094488188981" header="0.31496062992125984" footer="0.31496062992125984"/>
  <pageSetup paperSize="8" scale="50" fitToHeight="5" orientation="landscape" r:id="rId1"/>
  <headerFooter differentFirst="1">
    <oddHeader>&amp;C
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P50"/>
  <sheetViews>
    <sheetView topLeftCell="A16" zoomScaleNormal="100" workbookViewId="0">
      <selection activeCell="K51" sqref="K51"/>
    </sheetView>
  </sheetViews>
  <sheetFormatPr defaultColWidth="8.85546875" defaultRowHeight="11.25" x14ac:dyDescent="0.2"/>
  <cols>
    <col min="1" max="1" width="5.7109375" style="167" bestFit="1" customWidth="1"/>
    <col min="2" max="2" width="32.28515625" style="167" customWidth="1"/>
    <col min="3" max="3" width="13.7109375" style="167" customWidth="1"/>
    <col min="4" max="4" width="10.42578125" style="167" bestFit="1" customWidth="1"/>
    <col min="5" max="5" width="11.5703125" style="167" bestFit="1" customWidth="1"/>
    <col min="6" max="6" width="10.42578125" style="167" bestFit="1" customWidth="1"/>
    <col min="7" max="7" width="11.5703125" style="167" bestFit="1" customWidth="1"/>
    <col min="8" max="8" width="9" style="167" bestFit="1" customWidth="1"/>
    <col min="9" max="9" width="11.5703125" style="167" bestFit="1" customWidth="1"/>
    <col min="10" max="10" width="9" style="167" bestFit="1" customWidth="1"/>
    <col min="11" max="11" width="11.5703125" style="167" bestFit="1" customWidth="1"/>
    <col min="12" max="12" width="10.140625" style="167" customWidth="1"/>
    <col min="13" max="13" width="10.5703125" style="167" customWidth="1"/>
    <col min="14" max="16384" width="8.85546875" style="167"/>
  </cols>
  <sheetData>
    <row r="1" spans="1:13" x14ac:dyDescent="0.2">
      <c r="A1" s="166"/>
      <c r="B1" s="166"/>
      <c r="C1" s="153"/>
      <c r="D1" s="209"/>
      <c r="E1" s="211"/>
      <c r="F1" s="332" t="s">
        <v>197</v>
      </c>
      <c r="G1" s="332"/>
      <c r="H1" s="332"/>
      <c r="I1" s="332"/>
      <c r="J1" s="332"/>
      <c r="K1" s="332"/>
      <c r="L1" s="332"/>
      <c r="M1" s="332"/>
    </row>
    <row r="2" spans="1:13" x14ac:dyDescent="0.2">
      <c r="A2" s="166"/>
      <c r="B2" s="166"/>
      <c r="C2" s="153"/>
      <c r="D2" s="333" t="s">
        <v>191</v>
      </c>
      <c r="E2" s="333"/>
      <c r="F2" s="333"/>
      <c r="G2" s="333"/>
      <c r="H2" s="333"/>
      <c r="I2" s="333"/>
      <c r="J2" s="333"/>
      <c r="K2" s="333"/>
      <c r="L2" s="333"/>
      <c r="M2" s="333"/>
    </row>
    <row r="3" spans="1:13" x14ac:dyDescent="0.2">
      <c r="A3" s="166"/>
      <c r="B3" s="166"/>
      <c r="C3" s="153"/>
      <c r="D3" s="209"/>
      <c r="E3" s="209"/>
      <c r="F3" s="209"/>
      <c r="G3" s="212"/>
      <c r="H3" s="213"/>
      <c r="I3" s="213"/>
      <c r="J3" s="213"/>
      <c r="K3" s="213"/>
      <c r="L3" s="213"/>
      <c r="M3" s="213"/>
    </row>
    <row r="4" spans="1:13" ht="10.35" customHeight="1" x14ac:dyDescent="0.2">
      <c r="A4" s="166"/>
      <c r="B4" s="166"/>
      <c r="C4" s="153"/>
      <c r="D4" s="214"/>
      <c r="E4" s="209"/>
      <c r="F4" s="209"/>
      <c r="G4" s="209"/>
      <c r="H4" s="209"/>
      <c r="I4" s="209"/>
      <c r="J4" s="330" t="s">
        <v>178</v>
      </c>
      <c r="K4" s="330"/>
      <c r="L4" s="330"/>
      <c r="M4" s="330"/>
    </row>
    <row r="5" spans="1:13" ht="10.35" customHeight="1" x14ac:dyDescent="0.2">
      <c r="A5" s="166"/>
      <c r="B5" s="166"/>
      <c r="C5" s="153"/>
      <c r="D5" s="214"/>
      <c r="E5" s="209"/>
      <c r="F5" s="209"/>
      <c r="G5" s="209"/>
      <c r="H5" s="209"/>
      <c r="I5" s="209"/>
      <c r="J5" s="209"/>
      <c r="K5" s="209"/>
      <c r="L5" s="209"/>
      <c r="M5" s="209"/>
    </row>
    <row r="6" spans="1:13" ht="10.35" customHeight="1" x14ac:dyDescent="0.2">
      <c r="A6" s="166"/>
      <c r="B6" s="166"/>
      <c r="C6" s="153"/>
      <c r="D6" s="214"/>
      <c r="E6" s="209"/>
      <c r="F6" s="330" t="s">
        <v>315</v>
      </c>
      <c r="G6" s="330"/>
      <c r="H6" s="330"/>
      <c r="I6" s="330"/>
      <c r="J6" s="330"/>
      <c r="K6" s="330"/>
      <c r="L6" s="330"/>
      <c r="M6" s="330"/>
    </row>
    <row r="7" spans="1:13" ht="10.35" customHeight="1" x14ac:dyDescent="0.2">
      <c r="A7" s="166"/>
      <c r="B7" s="166"/>
      <c r="C7" s="205"/>
      <c r="D7" s="214"/>
      <c r="E7" s="209"/>
      <c r="F7" s="209"/>
      <c r="G7" s="209"/>
      <c r="H7" s="209"/>
      <c r="I7" s="209"/>
      <c r="J7" s="209"/>
      <c r="K7" s="209"/>
      <c r="L7" s="209"/>
      <c r="M7" s="209"/>
    </row>
    <row r="8" spans="1:13" ht="10.35" customHeight="1" x14ac:dyDescent="0.2">
      <c r="A8" s="166"/>
      <c r="B8" s="166"/>
      <c r="C8" s="153"/>
      <c r="D8" s="214"/>
      <c r="E8" s="209"/>
      <c r="F8" s="209"/>
      <c r="G8" s="209"/>
      <c r="H8" s="210"/>
      <c r="I8" s="334" t="s">
        <v>311</v>
      </c>
      <c r="J8" s="334"/>
      <c r="K8" s="334"/>
      <c r="L8" s="334"/>
      <c r="M8" s="334"/>
    </row>
    <row r="9" spans="1:13" ht="10.35" customHeight="1" x14ac:dyDescent="0.2">
      <c r="A9" s="166"/>
      <c r="B9" s="166"/>
      <c r="C9" s="153"/>
      <c r="D9" s="214"/>
      <c r="E9" s="209"/>
      <c r="F9" s="215"/>
      <c r="G9" s="215"/>
      <c r="H9" s="216"/>
      <c r="I9" s="215"/>
      <c r="J9" s="215"/>
      <c r="K9" s="217"/>
      <c r="L9" s="211"/>
      <c r="M9" s="211"/>
    </row>
    <row r="10" spans="1:13" ht="10.35" customHeight="1" x14ac:dyDescent="0.2">
      <c r="A10" s="166"/>
      <c r="B10" s="166"/>
      <c r="C10" s="153"/>
      <c r="D10" s="214"/>
      <c r="E10" s="209"/>
      <c r="F10" s="218"/>
      <c r="G10" s="218"/>
      <c r="H10" s="219"/>
      <c r="I10" s="218"/>
      <c r="J10" s="218"/>
      <c r="K10" s="218"/>
      <c r="L10" s="331" t="s">
        <v>323</v>
      </c>
      <c r="M10" s="331"/>
    </row>
    <row r="11" spans="1:13" ht="10.35" customHeight="1" x14ac:dyDescent="0.2">
      <c r="A11" s="166"/>
      <c r="B11" s="166"/>
      <c r="C11" s="153"/>
      <c r="E11" s="153"/>
      <c r="F11" s="153"/>
      <c r="G11" s="153"/>
      <c r="H11" s="153"/>
      <c r="I11" s="153"/>
      <c r="J11" s="153"/>
      <c r="K11" s="153"/>
      <c r="L11" s="153"/>
      <c r="M11" s="153"/>
    </row>
    <row r="12" spans="1:13" ht="15.75" x14ac:dyDescent="0.2">
      <c r="A12" s="322" t="s">
        <v>248</v>
      </c>
      <c r="B12" s="323"/>
      <c r="C12" s="323"/>
      <c r="D12" s="323"/>
      <c r="E12" s="323"/>
      <c r="F12" s="323"/>
      <c r="G12" s="323"/>
      <c r="H12" s="323"/>
      <c r="I12" s="323"/>
      <c r="J12" s="323"/>
      <c r="K12" s="323"/>
      <c r="L12" s="323"/>
      <c r="M12" s="323"/>
    </row>
    <row r="13" spans="1:13" x14ac:dyDescent="0.2">
      <c r="A13" s="168"/>
      <c r="B13" s="168"/>
      <c r="C13" s="168"/>
      <c r="D13" s="168"/>
      <c r="E13" s="168"/>
      <c r="F13" s="168"/>
      <c r="G13" s="168"/>
      <c r="H13" s="168"/>
      <c r="I13" s="324"/>
      <c r="J13" s="324"/>
      <c r="K13" s="324"/>
      <c r="L13" s="324"/>
      <c r="M13" s="324"/>
    </row>
    <row r="14" spans="1:13" x14ac:dyDescent="0.2">
      <c r="A14" s="169"/>
      <c r="B14" s="169"/>
      <c r="C14" s="169"/>
      <c r="D14" s="169"/>
      <c r="E14" s="169"/>
      <c r="F14" s="169"/>
      <c r="G14" s="169"/>
      <c r="H14" s="169"/>
      <c r="I14" s="169"/>
      <c r="J14" s="169"/>
      <c r="K14" s="169"/>
      <c r="L14" s="169"/>
      <c r="M14" s="169"/>
    </row>
    <row r="15" spans="1:13" x14ac:dyDescent="0.2">
      <c r="A15" s="325" t="s">
        <v>0</v>
      </c>
      <c r="B15" s="325" t="s">
        <v>105</v>
      </c>
      <c r="C15" s="325"/>
      <c r="D15" s="325"/>
      <c r="E15" s="325"/>
      <c r="F15" s="325"/>
      <c r="G15" s="325"/>
      <c r="H15" s="325"/>
      <c r="I15" s="325"/>
      <c r="J15" s="325"/>
      <c r="K15" s="325"/>
      <c r="L15" s="325"/>
      <c r="M15" s="325" t="s">
        <v>10</v>
      </c>
    </row>
    <row r="16" spans="1:13" ht="12.95" customHeight="1" x14ac:dyDescent="0.2">
      <c r="A16" s="325"/>
      <c r="B16" s="325"/>
      <c r="C16" s="326" t="s">
        <v>278</v>
      </c>
      <c r="D16" s="326"/>
      <c r="E16" s="327" t="s">
        <v>25</v>
      </c>
      <c r="F16" s="328"/>
      <c r="G16" s="327" t="s">
        <v>26</v>
      </c>
      <c r="H16" s="328"/>
      <c r="I16" s="327" t="s">
        <v>27</v>
      </c>
      <c r="J16" s="328"/>
      <c r="K16" s="327" t="s">
        <v>28</v>
      </c>
      <c r="L16" s="328"/>
      <c r="M16" s="325"/>
    </row>
    <row r="17" spans="1:16" ht="20.25" customHeight="1" thickBot="1" x14ac:dyDescent="0.25">
      <c r="A17" s="325"/>
      <c r="B17" s="325"/>
      <c r="C17" s="70" t="s">
        <v>104</v>
      </c>
      <c r="D17" s="70" t="s">
        <v>103</v>
      </c>
      <c r="E17" s="70" t="s">
        <v>3</v>
      </c>
      <c r="F17" s="70" t="s">
        <v>4</v>
      </c>
      <c r="G17" s="70" t="s">
        <v>3</v>
      </c>
      <c r="H17" s="70" t="s">
        <v>4</v>
      </c>
      <c r="I17" s="70" t="s">
        <v>3</v>
      </c>
      <c r="J17" s="70" t="s">
        <v>4</v>
      </c>
      <c r="K17" s="70" t="s">
        <v>3</v>
      </c>
      <c r="L17" s="70" t="s">
        <v>4</v>
      </c>
      <c r="M17" s="325"/>
    </row>
    <row r="18" spans="1:16" ht="24.75" customHeight="1" x14ac:dyDescent="0.2">
      <c r="A18" s="171" t="s">
        <v>16</v>
      </c>
      <c r="B18" s="172" t="s">
        <v>102</v>
      </c>
      <c r="C18" s="245">
        <f t="shared" ref="C18:H18" si="0">C19+C26+C30+C31+C33</f>
        <v>1992.4830000000002</v>
      </c>
      <c r="D18" s="245">
        <f t="shared" si="0"/>
        <v>220.32490000000001</v>
      </c>
      <c r="E18" s="245">
        <f t="shared" si="0"/>
        <v>118.75699999999999</v>
      </c>
      <c r="F18" s="245">
        <f t="shared" si="0"/>
        <v>10.859</v>
      </c>
      <c r="G18" s="245">
        <f t="shared" si="0"/>
        <v>542.0860767130531</v>
      </c>
      <c r="H18" s="245">
        <f t="shared" si="0"/>
        <v>9.2039999999999988</v>
      </c>
      <c r="I18" s="52">
        <f>I22+I26</f>
        <v>842.8177963947511</v>
      </c>
      <c r="J18" s="52">
        <f>J22+J26</f>
        <v>10.549899999999999</v>
      </c>
      <c r="K18" s="52">
        <f>K22+K26</f>
        <v>488.82212689219585</v>
      </c>
      <c r="L18" s="52">
        <f>L22+L26</f>
        <v>189.71200000000002</v>
      </c>
      <c r="M18" s="173"/>
    </row>
    <row r="19" spans="1:16" ht="15" x14ac:dyDescent="0.2">
      <c r="A19" s="171" t="s">
        <v>101</v>
      </c>
      <c r="B19" s="172" t="s">
        <v>100</v>
      </c>
      <c r="C19" s="239">
        <f>C20+C21+C22</f>
        <v>1973.8140000000001</v>
      </c>
      <c r="D19" s="239">
        <f t="shared" ref="D19:L19" si="1">D20+D21+D22</f>
        <v>201.16290000000001</v>
      </c>
      <c r="E19" s="239">
        <f t="shared" si="1"/>
        <v>118.285</v>
      </c>
      <c r="F19" s="239">
        <f t="shared" si="1"/>
        <v>10.387</v>
      </c>
      <c r="G19" s="239">
        <f t="shared" si="1"/>
        <v>532.12207671305305</v>
      </c>
      <c r="H19" s="239">
        <f t="shared" si="1"/>
        <v>9.1519999999999992</v>
      </c>
      <c r="I19" s="239">
        <f t="shared" si="1"/>
        <v>840.72579639475111</v>
      </c>
      <c r="J19" s="239">
        <f t="shared" si="1"/>
        <v>8.5498999999999992</v>
      </c>
      <c r="K19" s="239">
        <f t="shared" si="1"/>
        <v>482.68112689219583</v>
      </c>
      <c r="L19" s="239">
        <f t="shared" si="1"/>
        <v>173.07400000000001</v>
      </c>
      <c r="M19" s="173"/>
    </row>
    <row r="20" spans="1:16" ht="22.5" x14ac:dyDescent="0.2">
      <c r="A20" s="171" t="s">
        <v>99</v>
      </c>
      <c r="B20" s="172" t="s">
        <v>98</v>
      </c>
      <c r="C20" s="239"/>
      <c r="D20" s="52"/>
      <c r="E20" s="52"/>
      <c r="F20" s="52"/>
      <c r="G20" s="52"/>
      <c r="H20" s="52"/>
      <c r="I20" s="52"/>
      <c r="J20" s="52"/>
      <c r="K20" s="52"/>
      <c r="L20" s="52"/>
      <c r="M20" s="173"/>
    </row>
    <row r="21" spans="1:16" ht="15" x14ac:dyDescent="0.2">
      <c r="A21" s="171" t="s">
        <v>97</v>
      </c>
      <c r="B21" s="172" t="s">
        <v>96</v>
      </c>
      <c r="C21" s="239"/>
      <c r="D21" s="52"/>
      <c r="E21" s="52"/>
      <c r="F21" s="52"/>
      <c r="G21" s="52"/>
      <c r="H21" s="52"/>
      <c r="I21" s="52"/>
      <c r="J21" s="52"/>
      <c r="K21" s="52"/>
      <c r="L21" s="52"/>
      <c r="M21" s="173"/>
    </row>
    <row r="22" spans="1:16" ht="22.5" x14ac:dyDescent="0.2">
      <c r="A22" s="171" t="s">
        <v>95</v>
      </c>
      <c r="B22" s="172" t="s">
        <v>94</v>
      </c>
      <c r="C22" s="239">
        <f>C24</f>
        <v>1973.8140000000001</v>
      </c>
      <c r="D22" s="239">
        <f t="shared" ref="D22:L22" si="2">D24</f>
        <v>201.16290000000001</v>
      </c>
      <c r="E22" s="239">
        <f t="shared" si="2"/>
        <v>118.285</v>
      </c>
      <c r="F22" s="239">
        <f t="shared" si="2"/>
        <v>10.387</v>
      </c>
      <c r="G22" s="239">
        <f t="shared" si="2"/>
        <v>532.12207671305305</v>
      </c>
      <c r="H22" s="239">
        <f t="shared" si="2"/>
        <v>9.1519999999999992</v>
      </c>
      <c r="I22" s="239">
        <f t="shared" si="2"/>
        <v>840.72579639475111</v>
      </c>
      <c r="J22" s="239">
        <f t="shared" si="2"/>
        <v>8.5498999999999992</v>
      </c>
      <c r="K22" s="239">
        <f t="shared" si="2"/>
        <v>482.68112689219583</v>
      </c>
      <c r="L22" s="239">
        <f t="shared" si="2"/>
        <v>173.07400000000001</v>
      </c>
      <c r="M22" s="173"/>
    </row>
    <row r="23" spans="1:16" ht="22.5" x14ac:dyDescent="0.2">
      <c r="A23" s="171" t="s">
        <v>93</v>
      </c>
      <c r="B23" s="172" t="s">
        <v>92</v>
      </c>
      <c r="C23" s="239"/>
      <c r="D23" s="52"/>
      <c r="E23" s="52"/>
      <c r="F23" s="52"/>
      <c r="G23" s="52"/>
      <c r="H23" s="52"/>
      <c r="I23" s="52"/>
      <c r="J23" s="52"/>
      <c r="K23" s="52"/>
      <c r="L23" s="52"/>
      <c r="M23" s="173"/>
    </row>
    <row r="24" spans="1:16" ht="22.5" x14ac:dyDescent="0.2">
      <c r="A24" s="171" t="s">
        <v>91</v>
      </c>
      <c r="B24" s="172" t="s">
        <v>90</v>
      </c>
      <c r="C24" s="239">
        <v>1973.8140000000001</v>
      </c>
      <c r="D24" s="52">
        <f>F24+H24+J24+L24</f>
        <v>201.16290000000001</v>
      </c>
      <c r="E24" s="52">
        <f>118.357-0.072</f>
        <v>118.285</v>
      </c>
      <c r="F24" s="52">
        <v>10.387</v>
      </c>
      <c r="G24" s="52">
        <f>496.024076713053+6.098+30</f>
        <v>532.12207671305305</v>
      </c>
      <c r="H24" s="52">
        <v>9.1519999999999992</v>
      </c>
      <c r="I24" s="52">
        <f>986.507796394751-223.618+74.71+3.126</f>
        <v>840.72579639475111</v>
      </c>
      <c r="J24" s="52">
        <f>8.5489+0.001</f>
        <v>8.5498999999999992</v>
      </c>
      <c r="K24" s="52">
        <f>C24-E24-G24-I24</f>
        <v>482.68112689219583</v>
      </c>
      <c r="L24" s="52">
        <v>173.07400000000001</v>
      </c>
      <c r="M24" s="173"/>
    </row>
    <row r="25" spans="1:16" ht="15" x14ac:dyDescent="0.2">
      <c r="A25" s="171" t="s">
        <v>89</v>
      </c>
      <c r="B25" s="172" t="s">
        <v>88</v>
      </c>
      <c r="C25" s="239"/>
      <c r="D25" s="52"/>
      <c r="E25" s="240"/>
      <c r="F25" s="52"/>
      <c r="G25" s="240"/>
      <c r="H25" s="52"/>
      <c r="I25" s="240"/>
      <c r="J25" s="52"/>
      <c r="K25" s="240"/>
      <c r="L25" s="52"/>
      <c r="M25" s="173"/>
    </row>
    <row r="26" spans="1:16" ht="15" x14ac:dyDescent="0.2">
      <c r="A26" s="171" t="s">
        <v>87</v>
      </c>
      <c r="B26" s="172" t="s">
        <v>86</v>
      </c>
      <c r="C26" s="239">
        <f>C27+C28+C29</f>
        <v>18.669</v>
      </c>
      <c r="D26" s="239">
        <f t="shared" ref="D26:L26" si="3">D27+D28+D29</f>
        <v>19.162000000000003</v>
      </c>
      <c r="E26" s="239">
        <f t="shared" si="3"/>
        <v>0.47199999999999998</v>
      </c>
      <c r="F26" s="239">
        <f t="shared" si="3"/>
        <v>0.47199999999999998</v>
      </c>
      <c r="G26" s="239">
        <f t="shared" si="3"/>
        <v>9.9640000000000004</v>
      </c>
      <c r="H26" s="239">
        <f t="shared" si="3"/>
        <v>5.1999999999999998E-2</v>
      </c>
      <c r="I26" s="239">
        <f t="shared" si="3"/>
        <v>2.0920000000000001</v>
      </c>
      <c r="J26" s="239">
        <f t="shared" si="3"/>
        <v>2</v>
      </c>
      <c r="K26" s="239">
        <f t="shared" si="3"/>
        <v>6.141</v>
      </c>
      <c r="L26" s="239">
        <f t="shared" si="3"/>
        <v>16.638000000000002</v>
      </c>
      <c r="M26" s="173"/>
      <c r="P26" s="174"/>
    </row>
    <row r="27" spans="1:16" ht="15" x14ac:dyDescent="0.2">
      <c r="A27" s="171" t="s">
        <v>85</v>
      </c>
      <c r="B27" s="172" t="s">
        <v>84</v>
      </c>
      <c r="C27" s="239">
        <v>14.603999999999999</v>
      </c>
      <c r="D27" s="52">
        <f>F27+H27+J27+L27</f>
        <v>19.162000000000003</v>
      </c>
      <c r="E27" s="43">
        <v>0.47199999999999998</v>
      </c>
      <c r="F27" s="43">
        <v>0.47199999999999998</v>
      </c>
      <c r="G27" s="241">
        <v>9.9640000000000004</v>
      </c>
      <c r="H27" s="43">
        <v>5.1999999999999998E-2</v>
      </c>
      <c r="I27" s="52">
        <v>2.0840000000000001</v>
      </c>
      <c r="J27" s="43">
        <v>2</v>
      </c>
      <c r="K27" s="52">
        <v>2.0840000000000001</v>
      </c>
      <c r="L27" s="43">
        <v>16.638000000000002</v>
      </c>
      <c r="M27" s="136"/>
    </row>
    <row r="28" spans="1:16" ht="15" x14ac:dyDescent="0.2">
      <c r="A28" s="171" t="s">
        <v>83</v>
      </c>
      <c r="B28" s="172" t="s">
        <v>82</v>
      </c>
      <c r="C28" s="239">
        <v>4.0650000000000004</v>
      </c>
      <c r="D28" s="227">
        <f>F28+H28+J28+L28</f>
        <v>0</v>
      </c>
      <c r="E28" s="52"/>
      <c r="F28" s="52"/>
      <c r="G28" s="52"/>
      <c r="H28" s="52"/>
      <c r="I28" s="52">
        <v>8.0000000000000002E-3</v>
      </c>
      <c r="J28" s="52"/>
      <c r="K28" s="52">
        <f>C28-E28-G28-I28</f>
        <v>4.0570000000000004</v>
      </c>
      <c r="L28" s="52"/>
      <c r="M28" s="173"/>
    </row>
    <row r="29" spans="1:16" ht="22.5" x14ac:dyDescent="0.2">
      <c r="A29" s="171" t="s">
        <v>81</v>
      </c>
      <c r="B29" s="172" t="s">
        <v>80</v>
      </c>
      <c r="C29" s="239"/>
      <c r="D29" s="52"/>
      <c r="E29" s="52"/>
      <c r="F29" s="52"/>
      <c r="G29" s="52"/>
      <c r="H29" s="52"/>
      <c r="I29" s="52"/>
      <c r="J29" s="52"/>
      <c r="K29" s="52"/>
      <c r="L29" s="52"/>
      <c r="M29" s="173"/>
    </row>
    <row r="30" spans="1:16" ht="15" x14ac:dyDescent="0.2">
      <c r="A30" s="171" t="s">
        <v>79</v>
      </c>
      <c r="B30" s="172" t="s">
        <v>78</v>
      </c>
      <c r="C30" s="239"/>
      <c r="D30" s="52"/>
      <c r="E30" s="52"/>
      <c r="F30" s="52"/>
      <c r="G30" s="52"/>
      <c r="H30" s="52"/>
      <c r="I30" s="52"/>
      <c r="J30" s="52"/>
      <c r="K30" s="52"/>
      <c r="L30" s="52"/>
      <c r="M30" s="173"/>
    </row>
    <row r="31" spans="1:16" ht="15" x14ac:dyDescent="0.2">
      <c r="A31" s="171" t="s">
        <v>77</v>
      </c>
      <c r="B31" s="172" t="s">
        <v>76</v>
      </c>
      <c r="C31" s="239"/>
      <c r="D31" s="52"/>
      <c r="E31" s="52"/>
      <c r="F31" s="52"/>
      <c r="G31" s="52"/>
      <c r="H31" s="52"/>
      <c r="I31" s="52"/>
      <c r="J31" s="52"/>
      <c r="K31" s="52"/>
      <c r="L31" s="52"/>
      <c r="M31" s="173"/>
    </row>
    <row r="32" spans="1:16" ht="15" x14ac:dyDescent="0.2">
      <c r="A32" s="171" t="s">
        <v>75</v>
      </c>
      <c r="B32" s="172" t="s">
        <v>74</v>
      </c>
      <c r="C32" s="239"/>
      <c r="D32" s="52"/>
      <c r="E32" s="52"/>
      <c r="F32" s="52"/>
      <c r="G32" s="52"/>
      <c r="H32" s="52"/>
      <c r="I32" s="52"/>
      <c r="J32" s="52"/>
      <c r="K32" s="52"/>
      <c r="L32" s="52"/>
      <c r="M32" s="173"/>
    </row>
    <row r="33" spans="1:13" ht="22.5" x14ac:dyDescent="0.2">
      <c r="A33" s="171" t="s">
        <v>73</v>
      </c>
      <c r="B33" s="172" t="s">
        <v>72</v>
      </c>
      <c r="C33" s="239"/>
      <c r="D33" s="52"/>
      <c r="E33" s="52"/>
      <c r="F33" s="52"/>
      <c r="G33" s="52"/>
      <c r="H33" s="52"/>
      <c r="I33" s="52"/>
      <c r="J33" s="52"/>
      <c r="K33" s="52"/>
      <c r="L33" s="52"/>
      <c r="M33" s="173"/>
    </row>
    <row r="34" spans="1:13" ht="15" x14ac:dyDescent="0.2">
      <c r="A34" s="171" t="s">
        <v>71</v>
      </c>
      <c r="B34" s="172" t="s">
        <v>70</v>
      </c>
      <c r="C34" s="239">
        <f>SUM(C35:C41)</f>
        <v>0</v>
      </c>
      <c r="D34" s="52">
        <f t="shared" ref="D34:L34" si="4">D35+D36+D37+D38+D39+D40+D41</f>
        <v>0.753</v>
      </c>
      <c r="E34" s="52">
        <f t="shared" si="4"/>
        <v>0</v>
      </c>
      <c r="F34" s="52">
        <f t="shared" si="4"/>
        <v>0.43</v>
      </c>
      <c r="G34" s="52">
        <f t="shared" si="4"/>
        <v>0</v>
      </c>
      <c r="H34" s="52">
        <f t="shared" si="4"/>
        <v>0.32300000000000001</v>
      </c>
      <c r="I34" s="52">
        <f t="shared" si="4"/>
        <v>0</v>
      </c>
      <c r="J34" s="52">
        <f t="shared" si="4"/>
        <v>0</v>
      </c>
      <c r="K34" s="52">
        <f t="shared" si="4"/>
        <v>0</v>
      </c>
      <c r="L34" s="52">
        <f t="shared" si="4"/>
        <v>0</v>
      </c>
      <c r="M34" s="173"/>
    </row>
    <row r="35" spans="1:13" ht="15" x14ac:dyDescent="0.2">
      <c r="A35" s="171" t="s">
        <v>69</v>
      </c>
      <c r="B35" s="172" t="s">
        <v>68</v>
      </c>
      <c r="C35" s="239"/>
      <c r="D35" s="52"/>
      <c r="E35" s="52"/>
      <c r="F35" s="52"/>
      <c r="G35" s="52"/>
      <c r="H35" s="52"/>
      <c r="I35" s="52"/>
      <c r="J35" s="52"/>
      <c r="K35" s="52"/>
      <c r="L35" s="52"/>
      <c r="M35" s="173"/>
    </row>
    <row r="36" spans="1:13" ht="15" x14ac:dyDescent="0.2">
      <c r="A36" s="171" t="s">
        <v>67</v>
      </c>
      <c r="B36" s="172" t="s">
        <v>66</v>
      </c>
      <c r="C36" s="239"/>
      <c r="D36" s="52"/>
      <c r="E36" s="52"/>
      <c r="F36" s="52"/>
      <c r="G36" s="52"/>
      <c r="H36" s="52"/>
      <c r="I36" s="52"/>
      <c r="J36" s="52"/>
      <c r="K36" s="52"/>
      <c r="L36" s="52"/>
      <c r="M36" s="173"/>
    </row>
    <row r="37" spans="1:13" ht="15" x14ac:dyDescent="0.2">
      <c r="A37" s="171" t="s">
        <v>65</v>
      </c>
      <c r="B37" s="172" t="s">
        <v>64</v>
      </c>
      <c r="C37" s="239"/>
      <c r="D37" s="52"/>
      <c r="E37" s="52"/>
      <c r="F37" s="52"/>
      <c r="G37" s="52"/>
      <c r="H37" s="52"/>
      <c r="I37" s="52"/>
      <c r="J37" s="52"/>
      <c r="K37" s="52"/>
      <c r="L37" s="52"/>
      <c r="M37" s="173"/>
    </row>
    <row r="38" spans="1:13" ht="15" x14ac:dyDescent="0.2">
      <c r="A38" s="171" t="s">
        <v>63</v>
      </c>
      <c r="B38" s="172" t="s">
        <v>62</v>
      </c>
      <c r="C38" s="239"/>
      <c r="D38" s="52"/>
      <c r="E38" s="52"/>
      <c r="F38" s="52"/>
      <c r="G38" s="52"/>
      <c r="H38" s="52"/>
      <c r="I38" s="52"/>
      <c r="J38" s="52"/>
      <c r="K38" s="52"/>
      <c r="L38" s="52"/>
      <c r="M38" s="173"/>
    </row>
    <row r="39" spans="1:13" ht="15" x14ac:dyDescent="0.2">
      <c r="A39" s="171" t="s">
        <v>61</v>
      </c>
      <c r="B39" s="172" t="s">
        <v>60</v>
      </c>
      <c r="C39" s="239"/>
      <c r="D39" s="52"/>
      <c r="E39" s="52"/>
      <c r="F39" s="52"/>
      <c r="G39" s="52"/>
      <c r="H39" s="52"/>
      <c r="I39" s="52"/>
      <c r="J39" s="52"/>
      <c r="K39" s="52"/>
      <c r="L39" s="52"/>
      <c r="M39" s="173"/>
    </row>
    <row r="40" spans="1:13" ht="15" x14ac:dyDescent="0.2">
      <c r="A40" s="171" t="s">
        <v>59</v>
      </c>
      <c r="B40" s="177" t="s">
        <v>58</v>
      </c>
      <c r="C40" s="242"/>
      <c r="D40" s="242">
        <f>F40+H40+J40+L40</f>
        <v>0.753</v>
      </c>
      <c r="E40" s="242"/>
      <c r="F40" s="242">
        <v>0.43</v>
      </c>
      <c r="G40" s="242"/>
      <c r="H40" s="242">
        <v>0.32300000000000001</v>
      </c>
      <c r="I40" s="242"/>
      <c r="J40" s="242"/>
      <c r="K40" s="242"/>
      <c r="L40" s="242"/>
      <c r="M40" s="178"/>
    </row>
    <row r="41" spans="1:13" ht="15.75" thickBot="1" x14ac:dyDescent="0.25">
      <c r="A41" s="171" t="s">
        <v>57</v>
      </c>
      <c r="B41" s="172" t="s">
        <v>56</v>
      </c>
      <c r="C41" s="243"/>
      <c r="D41" s="244"/>
      <c r="E41" s="52"/>
      <c r="F41" s="52"/>
      <c r="G41" s="52"/>
      <c r="H41" s="52"/>
      <c r="I41" s="52"/>
      <c r="J41" s="52"/>
      <c r="K41" s="52"/>
      <c r="L41" s="52"/>
      <c r="M41" s="173"/>
    </row>
    <row r="42" spans="1:13" ht="14.25" x14ac:dyDescent="0.2">
      <c r="A42" s="175"/>
      <c r="B42" s="179" t="s">
        <v>55</v>
      </c>
      <c r="C42" s="273">
        <f>C18+C34</f>
        <v>1992.4830000000002</v>
      </c>
      <c r="D42" s="59">
        <f>D18+D34</f>
        <v>221.0779</v>
      </c>
      <c r="E42" s="59">
        <f t="shared" ref="E42:K42" si="5">E18+E34</f>
        <v>118.75699999999999</v>
      </c>
      <c r="F42" s="272">
        <f t="shared" si="5"/>
        <v>11.289</v>
      </c>
      <c r="G42" s="59">
        <f t="shared" si="5"/>
        <v>542.0860767130531</v>
      </c>
      <c r="H42" s="272">
        <f>H18+H34</f>
        <v>9.5269999999999992</v>
      </c>
      <c r="I42" s="59">
        <f t="shared" si="5"/>
        <v>842.8177963947511</v>
      </c>
      <c r="J42" s="272">
        <f t="shared" si="5"/>
        <v>10.549899999999999</v>
      </c>
      <c r="K42" s="59">
        <f t="shared" si="5"/>
        <v>488.82212689219585</v>
      </c>
      <c r="L42" s="59">
        <f>L18+L34</f>
        <v>189.71200000000002</v>
      </c>
      <c r="M42" s="208"/>
    </row>
    <row r="43" spans="1:13" x14ac:dyDescent="0.2">
      <c r="A43" s="171"/>
      <c r="B43" s="172" t="s">
        <v>54</v>
      </c>
      <c r="C43" s="229"/>
      <c r="D43" s="165"/>
      <c r="E43" s="165"/>
      <c r="F43" s="165"/>
      <c r="G43" s="165"/>
      <c r="H43" s="165"/>
      <c r="I43" s="165"/>
      <c r="J43" s="165"/>
      <c r="K43" s="165"/>
      <c r="L43" s="165"/>
      <c r="M43" s="134"/>
    </row>
    <row r="44" spans="1:13" x14ac:dyDescent="0.2">
      <c r="A44" s="171"/>
      <c r="B44" s="172" t="s">
        <v>53</v>
      </c>
      <c r="C44" s="229"/>
      <c r="D44" s="165"/>
      <c r="E44" s="165"/>
      <c r="F44" s="165"/>
      <c r="G44" s="165"/>
      <c r="H44" s="165"/>
      <c r="I44" s="165"/>
      <c r="J44" s="165"/>
      <c r="K44" s="165"/>
      <c r="L44" s="165"/>
      <c r="M44" s="134"/>
    </row>
    <row r="45" spans="1:13" x14ac:dyDescent="0.2">
      <c r="A45" s="171"/>
      <c r="B45" s="172" t="s">
        <v>52</v>
      </c>
      <c r="C45" s="229"/>
      <c r="D45" s="165"/>
      <c r="E45" s="165"/>
      <c r="F45" s="165"/>
      <c r="G45" s="165"/>
      <c r="H45" s="165"/>
      <c r="I45" s="165"/>
      <c r="J45" s="165"/>
      <c r="K45" s="165"/>
      <c r="L45" s="229"/>
      <c r="M45" s="134"/>
    </row>
    <row r="46" spans="1:13" x14ac:dyDescent="0.2">
      <c r="A46" s="180"/>
      <c r="B46" s="181"/>
      <c r="C46" s="182"/>
      <c r="D46" s="182"/>
      <c r="E46" s="182"/>
      <c r="F46" s="182"/>
      <c r="G46" s="182"/>
      <c r="H46" s="182"/>
      <c r="I46" s="182"/>
      <c r="J46" s="182"/>
      <c r="K46" s="182"/>
      <c r="L46" s="182"/>
      <c r="M46" s="183"/>
    </row>
    <row r="47" spans="1:13" x14ac:dyDescent="0.2">
      <c r="A47" s="169"/>
      <c r="B47" s="169" t="s">
        <v>195</v>
      </c>
      <c r="C47" s="169"/>
      <c r="D47" s="169"/>
      <c r="E47" s="169"/>
      <c r="F47" s="169"/>
      <c r="G47" s="169"/>
      <c r="H47" s="169"/>
      <c r="I47" s="169"/>
      <c r="J47" s="169"/>
      <c r="K47" s="169"/>
      <c r="L47" s="169"/>
      <c r="M47" s="169"/>
    </row>
    <row r="48" spans="1:13" x14ac:dyDescent="0.2">
      <c r="A48" s="169"/>
      <c r="B48" s="169" t="s">
        <v>196</v>
      </c>
      <c r="C48" s="169"/>
      <c r="D48" s="169"/>
      <c r="E48" s="169"/>
      <c r="F48" s="169"/>
      <c r="G48" s="169"/>
      <c r="H48" s="169"/>
      <c r="I48" s="169"/>
      <c r="J48" s="169"/>
      <c r="K48" s="169"/>
      <c r="L48" s="169"/>
      <c r="M48" s="169"/>
    </row>
    <row r="50" spans="1:11" ht="15.75" x14ac:dyDescent="0.25">
      <c r="A50" s="176"/>
      <c r="B50" s="329" t="s">
        <v>326</v>
      </c>
      <c r="C50" s="329"/>
      <c r="D50" s="329"/>
      <c r="E50" s="329"/>
      <c r="F50" s="321" t="s">
        <v>327</v>
      </c>
      <c r="G50" s="321"/>
      <c r="H50" s="321"/>
      <c r="I50" s="321"/>
      <c r="J50" s="321"/>
      <c r="K50" s="321"/>
    </row>
  </sheetData>
  <mergeCells count="19">
    <mergeCell ref="F6:M6"/>
    <mergeCell ref="L10:M10"/>
    <mergeCell ref="F1:M1"/>
    <mergeCell ref="D2:M2"/>
    <mergeCell ref="J4:M4"/>
    <mergeCell ref="I8:M8"/>
    <mergeCell ref="F50:K50"/>
    <mergeCell ref="A12:M12"/>
    <mergeCell ref="I13:M13"/>
    <mergeCell ref="A15:A17"/>
    <mergeCell ref="B15:B17"/>
    <mergeCell ref="C15:L15"/>
    <mergeCell ref="M15:M17"/>
    <mergeCell ref="C16:D16"/>
    <mergeCell ref="G16:H16"/>
    <mergeCell ref="E16:F16"/>
    <mergeCell ref="I16:J16"/>
    <mergeCell ref="K16:L16"/>
    <mergeCell ref="B50:E50"/>
  </mergeCells>
  <pageMargins left="0.70866141732283472" right="0.39370078740157483" top="0.47244094488188981" bottom="0.39370078740157483" header="0.31496062992125984" footer="0.31496062992125984"/>
  <pageSetup paperSize="9" scale="7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00"/>
    <pageSetUpPr fitToPage="1"/>
  </sheetPr>
  <dimension ref="A1:V72"/>
  <sheetViews>
    <sheetView workbookViewId="0">
      <selection activeCell="B47" sqref="B47:B64"/>
    </sheetView>
  </sheetViews>
  <sheetFormatPr defaultColWidth="4.28515625" defaultRowHeight="15" x14ac:dyDescent="0.25"/>
  <cols>
    <col min="1" max="1" width="9.85546875" style="3" customWidth="1"/>
    <col min="2" max="2" width="41" style="3" customWidth="1"/>
    <col min="3" max="3" width="15.140625" style="3" customWidth="1"/>
    <col min="4" max="4" width="7.140625" style="3" customWidth="1"/>
    <col min="5" max="5" width="8.28515625" style="3" customWidth="1"/>
    <col min="6" max="7" width="9.28515625" style="3" customWidth="1"/>
    <col min="8" max="10" width="7.140625" style="3" bestFit="1" customWidth="1"/>
    <col min="11" max="12" width="8.28515625" style="3" bestFit="1" customWidth="1"/>
    <col min="13" max="15" width="7.140625" style="3" bestFit="1" customWidth="1"/>
    <col min="16" max="17" width="9.28515625" style="3" bestFit="1" customWidth="1"/>
    <col min="18" max="20" width="7.140625" style="3" bestFit="1" customWidth="1"/>
    <col min="21" max="22" width="8.28515625" style="3" bestFit="1" customWidth="1"/>
    <col min="23" max="16384" width="4.28515625" style="3"/>
  </cols>
  <sheetData>
    <row r="1" spans="1:22" ht="14.45" customHeight="1" x14ac:dyDescent="0.25">
      <c r="L1" s="61"/>
      <c r="M1" s="10"/>
      <c r="N1" s="62"/>
      <c r="O1" s="317" t="s">
        <v>247</v>
      </c>
      <c r="P1" s="317"/>
      <c r="Q1" s="317"/>
      <c r="R1" s="317"/>
      <c r="S1" s="317"/>
      <c r="T1" s="317"/>
      <c r="U1" s="317"/>
      <c r="V1" s="317"/>
    </row>
    <row r="2" spans="1:22" x14ac:dyDescent="0.25">
      <c r="L2" s="61"/>
      <c r="M2" s="337" t="s">
        <v>191</v>
      </c>
      <c r="N2" s="337"/>
      <c r="O2" s="337"/>
      <c r="P2" s="337"/>
      <c r="Q2" s="337"/>
      <c r="R2" s="337"/>
      <c r="S2" s="337"/>
      <c r="T2" s="337"/>
      <c r="U2" s="337"/>
      <c r="V2" s="337"/>
    </row>
    <row r="3" spans="1:22" x14ac:dyDescent="0.25">
      <c r="L3" s="61"/>
      <c r="M3" s="61"/>
      <c r="N3" s="61"/>
      <c r="O3" s="61"/>
      <c r="P3" s="63"/>
      <c r="Q3" s="48"/>
      <c r="R3" s="48"/>
      <c r="S3" s="48"/>
      <c r="T3" s="48"/>
      <c r="U3" s="48"/>
      <c r="V3" s="48"/>
    </row>
    <row r="4" spans="1:22" ht="17.850000000000001" customHeight="1" x14ac:dyDescent="0.25">
      <c r="L4" s="206"/>
      <c r="M4" s="338" t="s">
        <v>178</v>
      </c>
      <c r="N4" s="338"/>
      <c r="O4" s="338"/>
      <c r="P4" s="338"/>
      <c r="Q4" s="338"/>
      <c r="R4" s="338"/>
      <c r="S4" s="338"/>
      <c r="T4" s="338"/>
      <c r="U4" s="338"/>
      <c r="V4" s="338"/>
    </row>
    <row r="5" spans="1:22" ht="17.850000000000001" customHeight="1" x14ac:dyDescent="0.25">
      <c r="L5" s="339" t="s">
        <v>317</v>
      </c>
      <c r="M5" s="339"/>
      <c r="N5" s="339"/>
      <c r="O5" s="339"/>
      <c r="P5" s="339"/>
      <c r="Q5" s="339"/>
      <c r="R5" s="339"/>
      <c r="S5" s="339"/>
      <c r="T5" s="339"/>
      <c r="U5" s="339"/>
      <c r="V5" s="339"/>
    </row>
    <row r="6" spans="1:22" ht="17.850000000000001" customHeight="1" x14ac:dyDescent="0.25">
      <c r="L6" s="220"/>
      <c r="M6" s="220"/>
      <c r="N6" s="220"/>
      <c r="O6" s="220"/>
      <c r="P6" s="220"/>
      <c r="Q6" s="220"/>
      <c r="R6" s="220"/>
      <c r="S6" s="220"/>
      <c r="T6" s="220"/>
      <c r="U6" s="220"/>
      <c r="V6" s="220"/>
    </row>
    <row r="7" spans="1:22" ht="17.850000000000001" customHeight="1" x14ac:dyDescent="0.25">
      <c r="L7" s="220"/>
      <c r="M7" s="220"/>
      <c r="N7" s="221"/>
      <c r="O7" s="341" t="s">
        <v>311</v>
      </c>
      <c r="P7" s="341"/>
      <c r="Q7" s="341"/>
      <c r="R7" s="341"/>
      <c r="S7" s="341"/>
      <c r="T7" s="341"/>
      <c r="U7" s="341"/>
      <c r="V7" s="341"/>
    </row>
    <row r="8" spans="1:22" x14ac:dyDescent="0.25">
      <c r="L8" s="220"/>
      <c r="M8" s="220"/>
      <c r="N8" s="220"/>
      <c r="O8" s="220"/>
      <c r="P8" s="220"/>
      <c r="Q8" s="222"/>
      <c r="R8" s="222"/>
      <c r="S8" s="222"/>
      <c r="T8" s="222"/>
      <c r="U8" s="222"/>
      <c r="V8" s="222"/>
    </row>
    <row r="9" spans="1:22" x14ac:dyDescent="0.25">
      <c r="L9" s="340" t="s">
        <v>322</v>
      </c>
      <c r="M9" s="340"/>
      <c r="N9" s="340"/>
      <c r="O9" s="340"/>
      <c r="P9" s="340"/>
      <c r="Q9" s="340"/>
      <c r="R9" s="340"/>
      <c r="S9" s="340"/>
      <c r="T9" s="340"/>
      <c r="U9" s="340"/>
      <c r="V9" s="340"/>
    </row>
    <row r="10" spans="1:22" x14ac:dyDescent="0.25">
      <c r="L10" s="335" t="s">
        <v>12</v>
      </c>
      <c r="M10" s="335"/>
      <c r="N10" s="335"/>
      <c r="O10" s="335"/>
      <c r="P10" s="335"/>
      <c r="Q10" s="335"/>
      <c r="R10" s="335"/>
      <c r="S10" s="335"/>
      <c r="T10" s="335"/>
      <c r="U10" s="335"/>
      <c r="V10" s="335"/>
    </row>
    <row r="11" spans="1:22" ht="20.25" x14ac:dyDescent="0.3">
      <c r="A11" s="336" t="s">
        <v>316</v>
      </c>
      <c r="B11" s="336"/>
      <c r="C11" s="336"/>
      <c r="D11" s="336"/>
      <c r="E11" s="336"/>
      <c r="F11" s="336"/>
      <c r="G11" s="336"/>
      <c r="H11" s="336"/>
      <c r="I11" s="336"/>
      <c r="J11" s="336"/>
      <c r="K11" s="336"/>
      <c r="L11" s="336"/>
      <c r="M11" s="336"/>
      <c r="N11" s="336"/>
      <c r="O11" s="336"/>
      <c r="P11" s="336"/>
      <c r="Q11" s="336"/>
      <c r="R11" s="336"/>
      <c r="S11" s="336"/>
      <c r="T11" s="336"/>
      <c r="U11" s="336"/>
      <c r="V11" s="336"/>
    </row>
    <row r="12" spans="1:22" x14ac:dyDescent="0.25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</row>
    <row r="13" spans="1:22" ht="14.45" customHeight="1" x14ac:dyDescent="0.25">
      <c r="A13" s="342" t="s">
        <v>110</v>
      </c>
      <c r="B13" s="345" t="s">
        <v>109</v>
      </c>
      <c r="C13" s="348" t="s">
        <v>108</v>
      </c>
      <c r="D13" s="349"/>
      <c r="E13" s="349"/>
      <c r="F13" s="349"/>
      <c r="G13" s="349"/>
      <c r="H13" s="349"/>
      <c r="I13" s="349"/>
      <c r="J13" s="349"/>
      <c r="K13" s="349"/>
      <c r="L13" s="350"/>
      <c r="M13" s="348" t="s">
        <v>107</v>
      </c>
      <c r="N13" s="349"/>
      <c r="O13" s="349"/>
      <c r="P13" s="349"/>
      <c r="Q13" s="349"/>
      <c r="R13" s="349"/>
      <c r="S13" s="349"/>
      <c r="T13" s="349"/>
      <c r="U13" s="349"/>
      <c r="V13" s="350"/>
    </row>
    <row r="14" spans="1:22" ht="14.45" customHeight="1" x14ac:dyDescent="0.25">
      <c r="A14" s="343"/>
      <c r="B14" s="346"/>
      <c r="C14" s="351" t="s">
        <v>104</v>
      </c>
      <c r="D14" s="352"/>
      <c r="E14" s="352"/>
      <c r="F14" s="352"/>
      <c r="G14" s="353"/>
      <c r="H14" s="351" t="s">
        <v>4</v>
      </c>
      <c r="I14" s="352"/>
      <c r="J14" s="352"/>
      <c r="K14" s="352"/>
      <c r="L14" s="353"/>
      <c r="M14" s="348" t="s">
        <v>104</v>
      </c>
      <c r="N14" s="349"/>
      <c r="O14" s="349"/>
      <c r="P14" s="349"/>
      <c r="Q14" s="350"/>
      <c r="R14" s="348" t="s">
        <v>4</v>
      </c>
      <c r="S14" s="349"/>
      <c r="T14" s="349"/>
      <c r="U14" s="349"/>
      <c r="V14" s="350"/>
    </row>
    <row r="15" spans="1:22" ht="14.45" customHeight="1" x14ac:dyDescent="0.25">
      <c r="A15" s="343"/>
      <c r="B15" s="346"/>
      <c r="C15" s="348" t="s">
        <v>106</v>
      </c>
      <c r="D15" s="349"/>
      <c r="E15" s="349"/>
      <c r="F15" s="349"/>
      <c r="G15" s="350"/>
      <c r="H15" s="348" t="s">
        <v>106</v>
      </c>
      <c r="I15" s="349"/>
      <c r="J15" s="349"/>
      <c r="K15" s="349"/>
      <c r="L15" s="350"/>
      <c r="M15" s="348" t="s">
        <v>106</v>
      </c>
      <c r="N15" s="349"/>
      <c r="O15" s="349"/>
      <c r="P15" s="349"/>
      <c r="Q15" s="350"/>
      <c r="R15" s="348" t="s">
        <v>106</v>
      </c>
      <c r="S15" s="349"/>
      <c r="T15" s="349"/>
      <c r="U15" s="349"/>
      <c r="V15" s="350"/>
    </row>
    <row r="16" spans="1:22" x14ac:dyDescent="0.25">
      <c r="A16" s="344"/>
      <c r="B16" s="347"/>
      <c r="C16" s="50" t="s">
        <v>25</v>
      </c>
      <c r="D16" s="50" t="s">
        <v>26</v>
      </c>
      <c r="E16" s="50" t="s">
        <v>27</v>
      </c>
      <c r="F16" s="50" t="s">
        <v>28</v>
      </c>
      <c r="G16" s="84" t="s">
        <v>243</v>
      </c>
      <c r="H16" s="50" t="s">
        <v>25</v>
      </c>
      <c r="I16" s="50" t="s">
        <v>26</v>
      </c>
      <c r="J16" s="50" t="s">
        <v>27</v>
      </c>
      <c r="K16" s="50" t="s">
        <v>28</v>
      </c>
      <c r="L16" s="50" t="s">
        <v>243</v>
      </c>
      <c r="M16" s="50" t="s">
        <v>25</v>
      </c>
      <c r="N16" s="50" t="s">
        <v>26</v>
      </c>
      <c r="O16" s="50" t="s">
        <v>27</v>
      </c>
      <c r="P16" s="50" t="s">
        <v>28</v>
      </c>
      <c r="Q16" s="50" t="s">
        <v>243</v>
      </c>
      <c r="R16" s="50" t="s">
        <v>25</v>
      </c>
      <c r="S16" s="50" t="s">
        <v>26</v>
      </c>
      <c r="T16" s="50" t="s">
        <v>27</v>
      </c>
      <c r="U16" s="50" t="s">
        <v>28</v>
      </c>
      <c r="V16" s="50" t="s">
        <v>243</v>
      </c>
    </row>
    <row r="17" spans="1:22" s="13" customFormat="1" x14ac:dyDescent="0.25">
      <c r="A17" s="51">
        <v>1</v>
      </c>
      <c r="B17" s="51">
        <v>2</v>
      </c>
      <c r="C17" s="51">
        <v>3</v>
      </c>
      <c r="D17" s="51">
        <v>4</v>
      </c>
      <c r="E17" s="51">
        <v>5</v>
      </c>
      <c r="F17" s="51">
        <v>6</v>
      </c>
      <c r="G17" s="84">
        <v>7</v>
      </c>
      <c r="H17" s="51">
        <v>8</v>
      </c>
      <c r="I17" s="51">
        <v>9</v>
      </c>
      <c r="J17" s="51">
        <v>10</v>
      </c>
      <c r="K17" s="51">
        <v>11</v>
      </c>
      <c r="L17" s="51">
        <v>12</v>
      </c>
      <c r="M17" s="51">
        <v>13</v>
      </c>
      <c r="N17" s="51">
        <v>14</v>
      </c>
      <c r="O17" s="51">
        <v>15</v>
      </c>
      <c r="P17" s="51">
        <v>16</v>
      </c>
      <c r="Q17" s="51">
        <v>17</v>
      </c>
      <c r="R17" s="51">
        <v>18</v>
      </c>
      <c r="S17" s="51">
        <v>19</v>
      </c>
      <c r="T17" s="51">
        <v>20</v>
      </c>
      <c r="U17" s="51">
        <v>21</v>
      </c>
      <c r="V17" s="51">
        <v>22</v>
      </c>
    </row>
    <row r="18" spans="1:22" s="13" customFormat="1" x14ac:dyDescent="0.25">
      <c r="A18" s="146"/>
      <c r="B18" s="20" t="s">
        <v>13</v>
      </c>
      <c r="C18" s="33">
        <f t="shared" ref="C18:V18" si="0">C19+C44</f>
        <v>0</v>
      </c>
      <c r="D18" s="33">
        <f t="shared" si="0"/>
        <v>0</v>
      </c>
      <c r="E18" s="33">
        <f t="shared" si="0"/>
        <v>23.200000000000003</v>
      </c>
      <c r="F18" s="33">
        <f t="shared" si="0"/>
        <v>0</v>
      </c>
      <c r="G18" s="33">
        <f t="shared" si="0"/>
        <v>23.200000000000003</v>
      </c>
      <c r="H18" s="33">
        <f t="shared" si="0"/>
        <v>0</v>
      </c>
      <c r="I18" s="33">
        <f t="shared" si="0"/>
        <v>0</v>
      </c>
      <c r="J18" s="33">
        <f t="shared" si="0"/>
        <v>0</v>
      </c>
      <c r="K18" s="33">
        <f t="shared" si="0"/>
        <v>0</v>
      </c>
      <c r="L18" s="33">
        <f t="shared" si="0"/>
        <v>0</v>
      </c>
      <c r="M18" s="33">
        <f t="shared" si="0"/>
        <v>0</v>
      </c>
      <c r="N18" s="33">
        <f t="shared" si="0"/>
        <v>0</v>
      </c>
      <c r="O18" s="33">
        <f t="shared" si="0"/>
        <v>0</v>
      </c>
      <c r="P18" s="33">
        <f t="shared" si="0"/>
        <v>0</v>
      </c>
      <c r="Q18" s="33">
        <f t="shared" si="0"/>
        <v>0</v>
      </c>
      <c r="R18" s="33">
        <f t="shared" si="0"/>
        <v>0</v>
      </c>
      <c r="S18" s="33">
        <f t="shared" si="0"/>
        <v>0</v>
      </c>
      <c r="T18" s="33">
        <f t="shared" si="0"/>
        <v>0</v>
      </c>
      <c r="U18" s="33">
        <f t="shared" si="0"/>
        <v>0</v>
      </c>
      <c r="V18" s="33">
        <f t="shared" si="0"/>
        <v>0</v>
      </c>
    </row>
    <row r="19" spans="1:22" s="13" customFormat="1" ht="28.5" x14ac:dyDescent="0.25">
      <c r="A19" s="146" t="s">
        <v>16</v>
      </c>
      <c r="B19" s="20" t="s">
        <v>14</v>
      </c>
      <c r="C19" s="33">
        <f t="shared" ref="C19:V19" si="1">C20+C27+C29+C30+C31</f>
        <v>0</v>
      </c>
      <c r="D19" s="33">
        <f t="shared" si="1"/>
        <v>0</v>
      </c>
      <c r="E19" s="33">
        <f t="shared" si="1"/>
        <v>0</v>
      </c>
      <c r="F19" s="33">
        <f t="shared" si="1"/>
        <v>0</v>
      </c>
      <c r="G19" s="33">
        <f t="shared" si="1"/>
        <v>0</v>
      </c>
      <c r="H19" s="33">
        <f t="shared" si="1"/>
        <v>0</v>
      </c>
      <c r="I19" s="33">
        <f t="shared" si="1"/>
        <v>0</v>
      </c>
      <c r="J19" s="33">
        <f t="shared" si="1"/>
        <v>0</v>
      </c>
      <c r="K19" s="33">
        <f t="shared" si="1"/>
        <v>0</v>
      </c>
      <c r="L19" s="33">
        <f t="shared" si="1"/>
        <v>0</v>
      </c>
      <c r="M19" s="33">
        <f t="shared" si="1"/>
        <v>0</v>
      </c>
      <c r="N19" s="33">
        <f t="shared" si="1"/>
        <v>0</v>
      </c>
      <c r="O19" s="33">
        <f t="shared" si="1"/>
        <v>0</v>
      </c>
      <c r="P19" s="33">
        <f t="shared" si="1"/>
        <v>0</v>
      </c>
      <c r="Q19" s="33">
        <f t="shared" si="1"/>
        <v>0</v>
      </c>
      <c r="R19" s="33">
        <f t="shared" si="1"/>
        <v>0</v>
      </c>
      <c r="S19" s="33">
        <f t="shared" si="1"/>
        <v>0</v>
      </c>
      <c r="T19" s="33">
        <f t="shared" si="1"/>
        <v>0</v>
      </c>
      <c r="U19" s="33">
        <f t="shared" si="1"/>
        <v>0</v>
      </c>
      <c r="V19" s="33">
        <f t="shared" si="1"/>
        <v>0</v>
      </c>
    </row>
    <row r="20" spans="1:22" s="13" customFormat="1" ht="28.5" x14ac:dyDescent="0.25">
      <c r="A20" s="146" t="s">
        <v>29</v>
      </c>
      <c r="B20" s="20" t="s">
        <v>15</v>
      </c>
      <c r="C20" s="33">
        <f t="shared" ref="C20:V20" si="2">SUM(C21:C26)</f>
        <v>0</v>
      </c>
      <c r="D20" s="33">
        <f t="shared" si="2"/>
        <v>0</v>
      </c>
      <c r="E20" s="33">
        <f t="shared" si="2"/>
        <v>0</v>
      </c>
      <c r="F20" s="33">
        <f t="shared" si="2"/>
        <v>0</v>
      </c>
      <c r="G20" s="33">
        <f t="shared" si="2"/>
        <v>0</v>
      </c>
      <c r="H20" s="33">
        <f t="shared" si="2"/>
        <v>0</v>
      </c>
      <c r="I20" s="33">
        <f t="shared" si="2"/>
        <v>0</v>
      </c>
      <c r="J20" s="33">
        <f t="shared" si="2"/>
        <v>0</v>
      </c>
      <c r="K20" s="33">
        <f t="shared" si="2"/>
        <v>0</v>
      </c>
      <c r="L20" s="33">
        <f t="shared" si="2"/>
        <v>0</v>
      </c>
      <c r="M20" s="33">
        <f t="shared" si="2"/>
        <v>0</v>
      </c>
      <c r="N20" s="33">
        <f t="shared" si="2"/>
        <v>0</v>
      </c>
      <c r="O20" s="33">
        <f t="shared" si="2"/>
        <v>0</v>
      </c>
      <c r="P20" s="33">
        <f t="shared" si="2"/>
        <v>0</v>
      </c>
      <c r="Q20" s="33">
        <f t="shared" si="2"/>
        <v>0</v>
      </c>
      <c r="R20" s="33">
        <f t="shared" si="2"/>
        <v>0</v>
      </c>
      <c r="S20" s="33">
        <f t="shared" si="2"/>
        <v>0</v>
      </c>
      <c r="T20" s="33">
        <f t="shared" si="2"/>
        <v>0</v>
      </c>
      <c r="U20" s="33">
        <f t="shared" si="2"/>
        <v>0</v>
      </c>
      <c r="V20" s="33">
        <f t="shared" si="2"/>
        <v>0</v>
      </c>
    </row>
    <row r="21" spans="1:22" ht="45" x14ac:dyDescent="0.25">
      <c r="A21" s="22" t="s">
        <v>205</v>
      </c>
      <c r="B21" s="21" t="s">
        <v>190</v>
      </c>
      <c r="C21" s="26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</row>
    <row r="22" spans="1:22" s="13" customFormat="1" ht="75" x14ac:dyDescent="0.25">
      <c r="A22" s="22" t="s">
        <v>206</v>
      </c>
      <c r="B22" s="14" t="s">
        <v>202</v>
      </c>
      <c r="C22" s="75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</row>
    <row r="23" spans="1:22" s="13" customFormat="1" ht="75" x14ac:dyDescent="0.25">
      <c r="A23" s="22" t="s">
        <v>207</v>
      </c>
      <c r="B23" s="14" t="s">
        <v>203</v>
      </c>
      <c r="C23" s="75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</row>
    <row r="24" spans="1:22" s="13" customFormat="1" ht="60" x14ac:dyDescent="0.25">
      <c r="A24" s="22" t="s">
        <v>208</v>
      </c>
      <c r="B24" s="14" t="s">
        <v>204</v>
      </c>
      <c r="C24" s="75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</row>
    <row r="25" spans="1:22" s="13" customFormat="1" ht="45" x14ac:dyDescent="0.25">
      <c r="A25" s="22" t="s">
        <v>209</v>
      </c>
      <c r="B25" s="21" t="s">
        <v>199</v>
      </c>
      <c r="C25" s="75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</row>
    <row r="26" spans="1:22" s="13" customFormat="1" ht="30" x14ac:dyDescent="0.25">
      <c r="A26" s="22" t="s">
        <v>210</v>
      </c>
      <c r="B26" s="14" t="s">
        <v>291</v>
      </c>
      <c r="C26" s="75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</row>
    <row r="27" spans="1:22" s="13" customFormat="1" ht="28.5" x14ac:dyDescent="0.25">
      <c r="A27" s="146" t="s">
        <v>30</v>
      </c>
      <c r="B27" s="20" t="s">
        <v>18</v>
      </c>
      <c r="C27" s="33">
        <f t="shared" ref="C27:V27" si="3">SUM(C28:C28)</f>
        <v>0</v>
      </c>
      <c r="D27" s="33">
        <f t="shared" si="3"/>
        <v>0</v>
      </c>
      <c r="E27" s="33">
        <f t="shared" si="3"/>
        <v>0</v>
      </c>
      <c r="F27" s="33">
        <f t="shared" si="3"/>
        <v>0</v>
      </c>
      <c r="G27" s="33">
        <f t="shared" si="3"/>
        <v>0</v>
      </c>
      <c r="H27" s="33">
        <f t="shared" si="3"/>
        <v>0</v>
      </c>
      <c r="I27" s="33">
        <f t="shared" si="3"/>
        <v>0</v>
      </c>
      <c r="J27" s="33">
        <f t="shared" si="3"/>
        <v>0</v>
      </c>
      <c r="K27" s="33">
        <f t="shared" si="3"/>
        <v>0</v>
      </c>
      <c r="L27" s="33">
        <f t="shared" si="3"/>
        <v>0</v>
      </c>
      <c r="M27" s="33">
        <f t="shared" si="3"/>
        <v>0</v>
      </c>
      <c r="N27" s="33">
        <f t="shared" si="3"/>
        <v>0</v>
      </c>
      <c r="O27" s="33">
        <f t="shared" si="3"/>
        <v>0</v>
      </c>
      <c r="P27" s="33">
        <f t="shared" si="3"/>
        <v>0</v>
      </c>
      <c r="Q27" s="33">
        <f t="shared" si="3"/>
        <v>0</v>
      </c>
      <c r="R27" s="33">
        <f t="shared" si="3"/>
        <v>0</v>
      </c>
      <c r="S27" s="33">
        <f t="shared" si="3"/>
        <v>0</v>
      </c>
      <c r="T27" s="33">
        <f t="shared" si="3"/>
        <v>0</v>
      </c>
      <c r="U27" s="33">
        <f t="shared" si="3"/>
        <v>0</v>
      </c>
      <c r="V27" s="33">
        <f t="shared" si="3"/>
        <v>0</v>
      </c>
    </row>
    <row r="28" spans="1:22" s="13" customFormat="1" ht="60" x14ac:dyDescent="0.25">
      <c r="A28" s="22" t="s">
        <v>211</v>
      </c>
      <c r="B28" s="21" t="s">
        <v>150</v>
      </c>
      <c r="C28" s="150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</row>
    <row r="29" spans="1:22" ht="28.5" x14ac:dyDescent="0.25">
      <c r="A29" s="146" t="s">
        <v>31</v>
      </c>
      <c r="B29" s="20" t="s">
        <v>19</v>
      </c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</row>
    <row r="30" spans="1:22" ht="42.75" x14ac:dyDescent="0.25">
      <c r="A30" s="146" t="s">
        <v>32</v>
      </c>
      <c r="B30" s="20" t="s">
        <v>20</v>
      </c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</row>
    <row r="31" spans="1:22" x14ac:dyDescent="0.25">
      <c r="A31" s="146" t="s">
        <v>152</v>
      </c>
      <c r="B31" s="20" t="s">
        <v>151</v>
      </c>
      <c r="C31" s="33">
        <f t="shared" ref="C31:V31" si="4">SUM(C32:C43)</f>
        <v>0</v>
      </c>
      <c r="D31" s="33">
        <f t="shared" si="4"/>
        <v>0</v>
      </c>
      <c r="E31" s="33">
        <f t="shared" si="4"/>
        <v>0</v>
      </c>
      <c r="F31" s="33">
        <f t="shared" si="4"/>
        <v>0</v>
      </c>
      <c r="G31" s="33">
        <f t="shared" si="4"/>
        <v>0</v>
      </c>
      <c r="H31" s="33">
        <f t="shared" si="4"/>
        <v>0</v>
      </c>
      <c r="I31" s="33">
        <f t="shared" si="4"/>
        <v>0</v>
      </c>
      <c r="J31" s="33">
        <f t="shared" si="4"/>
        <v>0</v>
      </c>
      <c r="K31" s="33">
        <f t="shared" si="4"/>
        <v>0</v>
      </c>
      <c r="L31" s="33">
        <f t="shared" si="4"/>
        <v>0</v>
      </c>
      <c r="M31" s="33">
        <f t="shared" si="4"/>
        <v>0</v>
      </c>
      <c r="N31" s="33">
        <f t="shared" si="4"/>
        <v>0</v>
      </c>
      <c r="O31" s="33">
        <f t="shared" si="4"/>
        <v>0</v>
      </c>
      <c r="P31" s="33">
        <f t="shared" si="4"/>
        <v>0</v>
      </c>
      <c r="Q31" s="33">
        <f t="shared" si="4"/>
        <v>0</v>
      </c>
      <c r="R31" s="33">
        <f t="shared" si="4"/>
        <v>0</v>
      </c>
      <c r="S31" s="33">
        <f t="shared" si="4"/>
        <v>0</v>
      </c>
      <c r="T31" s="33">
        <f t="shared" si="4"/>
        <v>0</v>
      </c>
      <c r="U31" s="33">
        <f t="shared" si="4"/>
        <v>0</v>
      </c>
      <c r="V31" s="33">
        <f t="shared" si="4"/>
        <v>0</v>
      </c>
    </row>
    <row r="32" spans="1:22" ht="45" x14ac:dyDescent="0.25">
      <c r="A32" s="22" t="s">
        <v>212</v>
      </c>
      <c r="B32" s="280" t="s">
        <v>160</v>
      </c>
      <c r="C32" s="26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</row>
    <row r="33" spans="1:22" ht="45" x14ac:dyDescent="0.25">
      <c r="A33" s="22" t="s">
        <v>213</v>
      </c>
      <c r="B33" s="280" t="s">
        <v>161</v>
      </c>
      <c r="C33" s="26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</row>
    <row r="34" spans="1:22" ht="30" x14ac:dyDescent="0.25">
      <c r="A34" s="22" t="s">
        <v>214</v>
      </c>
      <c r="B34" s="21" t="s">
        <v>168</v>
      </c>
      <c r="C34" s="26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</row>
    <row r="35" spans="1:22" ht="30" x14ac:dyDescent="0.25">
      <c r="A35" s="22" t="s">
        <v>215</v>
      </c>
      <c r="B35" s="280" t="s">
        <v>162</v>
      </c>
      <c r="C35" s="2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</row>
    <row r="36" spans="1:22" ht="30" x14ac:dyDescent="0.25">
      <c r="A36" s="22" t="s">
        <v>216</v>
      </c>
      <c r="B36" s="280" t="s">
        <v>163</v>
      </c>
      <c r="C36" s="2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</row>
    <row r="37" spans="1:22" ht="30" x14ac:dyDescent="0.25">
      <c r="A37" s="22" t="s">
        <v>217</v>
      </c>
      <c r="B37" s="280" t="s">
        <v>167</v>
      </c>
      <c r="C37" s="2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</row>
    <row r="38" spans="1:22" ht="30" x14ac:dyDescent="0.25">
      <c r="A38" s="22" t="s">
        <v>218</v>
      </c>
      <c r="B38" s="280" t="s">
        <v>164</v>
      </c>
      <c r="C38" s="75"/>
      <c r="D38" s="54"/>
      <c r="E38" s="54"/>
      <c r="F38" s="54"/>
      <c r="G38" s="54"/>
      <c r="H38" s="54"/>
      <c r="I38" s="54"/>
      <c r="J38" s="54"/>
      <c r="K38" s="54"/>
      <c r="L38" s="46"/>
      <c r="M38" s="46"/>
      <c r="N38" s="53"/>
      <c r="O38" s="53"/>
      <c r="P38" s="53"/>
      <c r="Q38" s="53"/>
      <c r="R38" s="53"/>
      <c r="S38" s="53"/>
      <c r="T38" s="53"/>
      <c r="U38" s="53"/>
      <c r="V38" s="53"/>
    </row>
    <row r="39" spans="1:22" ht="30" x14ac:dyDescent="0.25">
      <c r="A39" s="22" t="s">
        <v>219</v>
      </c>
      <c r="B39" s="21" t="s">
        <v>166</v>
      </c>
      <c r="C39" s="75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</row>
    <row r="40" spans="1:22" ht="60" x14ac:dyDescent="0.25">
      <c r="A40" s="22" t="s">
        <v>220</v>
      </c>
      <c r="B40" s="21" t="s">
        <v>242</v>
      </c>
      <c r="C40" s="75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</row>
    <row r="41" spans="1:22" ht="30" x14ac:dyDescent="0.25">
      <c r="A41" s="22" t="s">
        <v>221</v>
      </c>
      <c r="B41" s="297" t="s">
        <v>200</v>
      </c>
      <c r="C41" s="75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</row>
    <row r="42" spans="1:22" ht="45" x14ac:dyDescent="0.25">
      <c r="A42" s="22" t="s">
        <v>222</v>
      </c>
      <c r="B42" s="14" t="s">
        <v>201</v>
      </c>
      <c r="C42" s="75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</row>
    <row r="43" spans="1:22" ht="30" x14ac:dyDescent="0.25">
      <c r="A43" s="22" t="s">
        <v>223</v>
      </c>
      <c r="B43" s="280" t="s">
        <v>173</v>
      </c>
      <c r="C43" s="75"/>
      <c r="D43" s="151"/>
      <c r="E43" s="151"/>
      <c r="F43" s="151"/>
      <c r="G43" s="151"/>
      <c r="H43" s="151"/>
      <c r="I43" s="151"/>
      <c r="J43" s="151"/>
      <c r="K43" s="151"/>
      <c r="L43" s="151"/>
      <c r="M43" s="151"/>
      <c r="N43" s="151"/>
      <c r="O43" s="151"/>
      <c r="P43" s="151"/>
      <c r="Q43" s="151"/>
      <c r="R43" s="151"/>
      <c r="S43" s="151"/>
      <c r="T43" s="151"/>
      <c r="U43" s="151"/>
      <c r="V43" s="151"/>
    </row>
    <row r="44" spans="1:22" x14ac:dyDescent="0.25">
      <c r="A44" s="29" t="s">
        <v>17</v>
      </c>
      <c r="B44" s="20" t="s">
        <v>21</v>
      </c>
      <c r="C44" s="33">
        <f t="shared" ref="C44:V44" si="5">C45+C46</f>
        <v>0</v>
      </c>
      <c r="D44" s="33">
        <f t="shared" si="5"/>
        <v>0</v>
      </c>
      <c r="E44" s="33">
        <f t="shared" si="5"/>
        <v>23.200000000000003</v>
      </c>
      <c r="F44" s="33">
        <f t="shared" si="5"/>
        <v>0</v>
      </c>
      <c r="G44" s="33">
        <f t="shared" si="5"/>
        <v>23.200000000000003</v>
      </c>
      <c r="H44" s="33">
        <f t="shared" si="5"/>
        <v>0</v>
      </c>
      <c r="I44" s="33">
        <f t="shared" si="5"/>
        <v>0</v>
      </c>
      <c r="J44" s="33">
        <f t="shared" si="5"/>
        <v>0</v>
      </c>
      <c r="K44" s="33">
        <f t="shared" si="5"/>
        <v>0</v>
      </c>
      <c r="L44" s="33">
        <f t="shared" si="5"/>
        <v>0</v>
      </c>
      <c r="M44" s="33">
        <f t="shared" si="5"/>
        <v>0</v>
      </c>
      <c r="N44" s="33">
        <f t="shared" si="5"/>
        <v>0</v>
      </c>
      <c r="O44" s="33">
        <f t="shared" si="5"/>
        <v>0</v>
      </c>
      <c r="P44" s="33">
        <f t="shared" si="5"/>
        <v>0</v>
      </c>
      <c r="Q44" s="33">
        <f t="shared" si="5"/>
        <v>0</v>
      </c>
      <c r="R44" s="33">
        <f t="shared" si="5"/>
        <v>0</v>
      </c>
      <c r="S44" s="33">
        <f t="shared" si="5"/>
        <v>0</v>
      </c>
      <c r="T44" s="33">
        <f t="shared" si="5"/>
        <v>0</v>
      </c>
      <c r="U44" s="33">
        <f t="shared" si="5"/>
        <v>0</v>
      </c>
      <c r="V44" s="33">
        <f t="shared" si="5"/>
        <v>0</v>
      </c>
    </row>
    <row r="45" spans="1:22" ht="28.5" x14ac:dyDescent="0.25">
      <c r="A45" s="29" t="s">
        <v>33</v>
      </c>
      <c r="B45" s="20" t="s">
        <v>15</v>
      </c>
      <c r="C45" s="33">
        <v>0</v>
      </c>
      <c r="D45" s="33">
        <v>0</v>
      </c>
      <c r="E45" s="33">
        <v>0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33">
        <v>0</v>
      </c>
      <c r="N45" s="33">
        <v>0</v>
      </c>
      <c r="O45" s="33">
        <v>0</v>
      </c>
      <c r="P45" s="33">
        <v>0</v>
      </c>
      <c r="Q45" s="33">
        <v>0</v>
      </c>
      <c r="R45" s="33">
        <v>0</v>
      </c>
      <c r="S45" s="33">
        <v>0</v>
      </c>
      <c r="T45" s="33">
        <v>0</v>
      </c>
      <c r="U45" s="33">
        <v>0</v>
      </c>
      <c r="V45" s="33">
        <v>0</v>
      </c>
    </row>
    <row r="46" spans="1:22" x14ac:dyDescent="0.25">
      <c r="A46" s="29" t="s">
        <v>34</v>
      </c>
      <c r="B46" s="20" t="s">
        <v>22</v>
      </c>
      <c r="C46" s="33">
        <f t="shared" ref="C46:V46" si="6">SUM(C47:C65)</f>
        <v>0</v>
      </c>
      <c r="D46" s="33">
        <f t="shared" si="6"/>
        <v>0</v>
      </c>
      <c r="E46" s="33">
        <f t="shared" si="6"/>
        <v>23.200000000000003</v>
      </c>
      <c r="F46" s="33">
        <f t="shared" si="6"/>
        <v>0</v>
      </c>
      <c r="G46" s="33">
        <f t="shared" si="6"/>
        <v>23.200000000000003</v>
      </c>
      <c r="H46" s="33">
        <f t="shared" si="6"/>
        <v>0</v>
      </c>
      <c r="I46" s="33">
        <f t="shared" si="6"/>
        <v>0</v>
      </c>
      <c r="J46" s="33">
        <f t="shared" si="6"/>
        <v>0</v>
      </c>
      <c r="K46" s="33">
        <f t="shared" si="6"/>
        <v>0</v>
      </c>
      <c r="L46" s="33">
        <f t="shared" si="6"/>
        <v>0</v>
      </c>
      <c r="M46" s="33">
        <f t="shared" si="6"/>
        <v>0</v>
      </c>
      <c r="N46" s="33">
        <f t="shared" si="6"/>
        <v>0</v>
      </c>
      <c r="O46" s="33">
        <f t="shared" si="6"/>
        <v>0</v>
      </c>
      <c r="P46" s="33">
        <f t="shared" si="6"/>
        <v>0</v>
      </c>
      <c r="Q46" s="33">
        <f t="shared" si="6"/>
        <v>0</v>
      </c>
      <c r="R46" s="33">
        <f t="shared" si="6"/>
        <v>0</v>
      </c>
      <c r="S46" s="33">
        <f t="shared" si="6"/>
        <v>0</v>
      </c>
      <c r="T46" s="33">
        <f t="shared" si="6"/>
        <v>0</v>
      </c>
      <c r="U46" s="33">
        <f t="shared" si="6"/>
        <v>0</v>
      </c>
      <c r="V46" s="33">
        <f t="shared" si="6"/>
        <v>0</v>
      </c>
    </row>
    <row r="47" spans="1:22" ht="105" x14ac:dyDescent="0.25">
      <c r="A47" s="22" t="s">
        <v>224</v>
      </c>
      <c r="B47" s="27" t="s">
        <v>189</v>
      </c>
      <c r="C47" s="152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</row>
    <row r="48" spans="1:22" ht="90" x14ac:dyDescent="0.25">
      <c r="A48" s="22" t="s">
        <v>225</v>
      </c>
      <c r="B48" s="148" t="s">
        <v>274</v>
      </c>
      <c r="C48" s="2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</row>
    <row r="49" spans="1:22" ht="75" x14ac:dyDescent="0.25">
      <c r="A49" s="22" t="s">
        <v>226</v>
      </c>
      <c r="B49" s="148" t="s">
        <v>275</v>
      </c>
      <c r="C49" s="26"/>
      <c r="D49" s="46"/>
      <c r="E49" s="52">
        <v>10.8</v>
      </c>
      <c r="F49" s="52"/>
      <c r="G49" s="52">
        <f>F49+E49+D49+C49</f>
        <v>10.8</v>
      </c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</row>
    <row r="50" spans="1:22" ht="75" x14ac:dyDescent="0.25">
      <c r="A50" s="22" t="s">
        <v>227</v>
      </c>
      <c r="B50" s="148" t="s">
        <v>276</v>
      </c>
      <c r="C50" s="2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</row>
    <row r="51" spans="1:22" ht="90" x14ac:dyDescent="0.25">
      <c r="A51" s="22" t="s">
        <v>228</v>
      </c>
      <c r="B51" s="14" t="s">
        <v>198</v>
      </c>
      <c r="C51" s="26"/>
      <c r="D51" s="46"/>
      <c r="E51" s="52">
        <v>12.4</v>
      </c>
      <c r="F51" s="52"/>
      <c r="G51" s="52">
        <f>F51+E51+D51+C51</f>
        <v>12.4</v>
      </c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</row>
    <row r="52" spans="1:22" ht="75" x14ac:dyDescent="0.25">
      <c r="A52" s="22" t="s">
        <v>229</v>
      </c>
      <c r="B52" s="28" t="s">
        <v>306</v>
      </c>
      <c r="C52" s="2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</row>
    <row r="53" spans="1:22" ht="75" x14ac:dyDescent="0.25">
      <c r="A53" s="22" t="s">
        <v>230</v>
      </c>
      <c r="B53" s="21" t="s">
        <v>282</v>
      </c>
      <c r="C53" s="2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</row>
    <row r="54" spans="1:22" ht="45" x14ac:dyDescent="0.25">
      <c r="A54" s="22" t="s">
        <v>231</v>
      </c>
      <c r="B54" s="21" t="s">
        <v>283</v>
      </c>
      <c r="C54" s="2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</row>
    <row r="55" spans="1:22" s="64" customFormat="1" ht="45" x14ac:dyDescent="0.2">
      <c r="A55" s="22" t="s">
        <v>232</v>
      </c>
      <c r="B55" s="21" t="s">
        <v>284</v>
      </c>
      <c r="C55" s="26"/>
      <c r="D55" s="69"/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</row>
    <row r="56" spans="1:22" ht="45" x14ac:dyDescent="0.25">
      <c r="A56" s="22" t="s">
        <v>233</v>
      </c>
      <c r="B56" s="25" t="s">
        <v>285</v>
      </c>
      <c r="C56" s="2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</row>
    <row r="57" spans="1:22" ht="45" x14ac:dyDescent="0.25">
      <c r="A57" s="22" t="s">
        <v>234</v>
      </c>
      <c r="B57" s="21" t="s">
        <v>177</v>
      </c>
      <c r="C57" s="2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</row>
    <row r="58" spans="1:22" ht="45" x14ac:dyDescent="0.25">
      <c r="A58" s="22" t="s">
        <v>235</v>
      </c>
      <c r="B58" s="25" t="s">
        <v>286</v>
      </c>
      <c r="C58" s="2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</row>
    <row r="59" spans="1:22" ht="45" x14ac:dyDescent="0.25">
      <c r="A59" s="22" t="s">
        <v>236</v>
      </c>
      <c r="B59" s="21" t="s">
        <v>287</v>
      </c>
      <c r="C59" s="2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</row>
    <row r="60" spans="1:22" ht="45" x14ac:dyDescent="0.25">
      <c r="A60" s="22" t="s">
        <v>237</v>
      </c>
      <c r="B60" s="21" t="s">
        <v>292</v>
      </c>
      <c r="C60" s="2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</row>
    <row r="61" spans="1:22" ht="30" x14ac:dyDescent="0.25">
      <c r="A61" s="22" t="s">
        <v>238</v>
      </c>
      <c r="B61" s="21" t="s">
        <v>165</v>
      </c>
      <c r="C61" s="2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</row>
    <row r="62" spans="1:22" ht="45" x14ac:dyDescent="0.25">
      <c r="A62" s="22" t="s">
        <v>239</v>
      </c>
      <c r="B62" s="21" t="s">
        <v>153</v>
      </c>
      <c r="C62" s="26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</row>
    <row r="63" spans="1:22" ht="60" x14ac:dyDescent="0.25">
      <c r="A63" s="22" t="s">
        <v>240</v>
      </c>
      <c r="B63" s="21" t="s">
        <v>288</v>
      </c>
      <c r="C63" s="26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</row>
    <row r="64" spans="1:22" ht="45" x14ac:dyDescent="0.25">
      <c r="A64" s="22" t="s">
        <v>241</v>
      </c>
      <c r="B64" s="14" t="s">
        <v>289</v>
      </c>
      <c r="C64" s="75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</row>
    <row r="65" spans="1:22" ht="30" x14ac:dyDescent="0.25">
      <c r="A65" s="31">
        <v>3</v>
      </c>
      <c r="B65" s="30" t="s">
        <v>154</v>
      </c>
      <c r="C65" s="34"/>
      <c r="D65" s="184"/>
      <c r="E65" s="184"/>
      <c r="F65" s="184"/>
      <c r="G65" s="184"/>
      <c r="H65" s="184"/>
      <c r="I65" s="184"/>
      <c r="J65" s="184"/>
      <c r="K65" s="184"/>
      <c r="L65" s="184"/>
      <c r="M65" s="184"/>
      <c r="N65" s="184"/>
      <c r="O65" s="184"/>
      <c r="P65" s="184"/>
      <c r="Q65" s="184"/>
      <c r="R65" s="184"/>
      <c r="S65" s="184"/>
      <c r="T65" s="184"/>
      <c r="U65" s="184"/>
      <c r="V65" s="184"/>
    </row>
    <row r="66" spans="1:22" ht="28.5" x14ac:dyDescent="0.25">
      <c r="A66" s="29"/>
      <c r="B66" s="20" t="s">
        <v>23</v>
      </c>
      <c r="C66" s="35"/>
      <c r="D66" s="203"/>
      <c r="E66" s="203"/>
      <c r="F66" s="203"/>
      <c r="G66" s="203"/>
      <c r="H66" s="203"/>
      <c r="I66" s="203"/>
      <c r="J66" s="203"/>
      <c r="K66" s="203"/>
      <c r="L66" s="203"/>
      <c r="M66" s="203"/>
      <c r="N66" s="203"/>
      <c r="O66" s="203"/>
      <c r="P66" s="203"/>
      <c r="Q66" s="203"/>
      <c r="R66" s="203"/>
      <c r="S66" s="203"/>
      <c r="T66" s="203"/>
      <c r="U66" s="203"/>
      <c r="V66" s="203"/>
    </row>
    <row r="69" spans="1:22" ht="18.75" x14ac:dyDescent="0.25">
      <c r="B69" s="313" t="s">
        <v>319</v>
      </c>
      <c r="C69" s="313"/>
      <c r="D69" s="313"/>
      <c r="E69" s="313"/>
      <c r="F69" s="313"/>
      <c r="G69" s="313"/>
      <c r="H69" s="313"/>
      <c r="I69" s="90"/>
      <c r="J69" s="90"/>
      <c r="K69" s="314" t="s">
        <v>320</v>
      </c>
      <c r="L69" s="314"/>
      <c r="M69" s="314"/>
      <c r="N69" s="314"/>
      <c r="O69" s="314"/>
      <c r="P69" s="314"/>
      <c r="Q69" s="314"/>
      <c r="R69" s="314"/>
      <c r="S69" s="314"/>
      <c r="T69" s="314"/>
    </row>
    <row r="70" spans="1:22" ht="18.75" x14ac:dyDescent="0.25">
      <c r="B70" s="96"/>
      <c r="C70" s="92"/>
      <c r="D70" s="92"/>
      <c r="E70" s="92"/>
      <c r="F70" s="92"/>
      <c r="G70" s="92"/>
      <c r="H70" s="93"/>
      <c r="I70" s="90"/>
      <c r="J70" s="90"/>
      <c r="K70" s="90"/>
      <c r="L70" s="90"/>
      <c r="M70" s="90"/>
      <c r="N70" s="90"/>
      <c r="O70" s="90"/>
      <c r="P70" s="94"/>
      <c r="Q70" s="94"/>
      <c r="R70" s="94"/>
      <c r="S70" s="94"/>
      <c r="T70" s="95"/>
    </row>
    <row r="71" spans="1:22" ht="18.75" x14ac:dyDescent="0.25">
      <c r="B71" s="315" t="s">
        <v>308</v>
      </c>
      <c r="C71" s="315"/>
      <c r="D71" s="315"/>
      <c r="E71" s="315"/>
      <c r="F71" s="315"/>
      <c r="G71" s="315"/>
      <c r="H71" s="315"/>
      <c r="I71" s="90"/>
      <c r="J71" s="90"/>
      <c r="K71" s="314" t="s">
        <v>309</v>
      </c>
      <c r="L71" s="314"/>
      <c r="M71" s="314"/>
      <c r="N71" s="314"/>
      <c r="O71" s="314"/>
      <c r="P71" s="314"/>
      <c r="Q71" s="314"/>
      <c r="R71" s="314"/>
      <c r="S71" s="314"/>
      <c r="T71" s="314"/>
    </row>
    <row r="72" spans="1:22" ht="18.75" x14ac:dyDescent="0.25">
      <c r="B72" s="97"/>
      <c r="C72" s="90"/>
      <c r="D72" s="98"/>
      <c r="E72" s="99"/>
      <c r="F72" s="90"/>
      <c r="G72" s="10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</row>
  </sheetData>
  <autoFilter ref="A17:V66"/>
  <mergeCells count="24">
    <mergeCell ref="B69:H69"/>
    <mergeCell ref="K69:T69"/>
    <mergeCell ref="B71:H71"/>
    <mergeCell ref="K71:T71"/>
    <mergeCell ref="A13:A16"/>
    <mergeCell ref="B13:B16"/>
    <mergeCell ref="C15:G15"/>
    <mergeCell ref="C13:L13"/>
    <mergeCell ref="H14:L14"/>
    <mergeCell ref="H15:L15"/>
    <mergeCell ref="M15:Q15"/>
    <mergeCell ref="C14:G14"/>
    <mergeCell ref="M13:V13"/>
    <mergeCell ref="M14:Q14"/>
    <mergeCell ref="R14:V14"/>
    <mergeCell ref="R15:V15"/>
    <mergeCell ref="L10:V10"/>
    <mergeCell ref="A11:V11"/>
    <mergeCell ref="O1:V1"/>
    <mergeCell ref="M2:V2"/>
    <mergeCell ref="M4:V4"/>
    <mergeCell ref="L5:V5"/>
    <mergeCell ref="L9:V9"/>
    <mergeCell ref="O7:V7"/>
  </mergeCells>
  <dataValidations count="1">
    <dataValidation allowBlank="1" showInputMessage="1" showErrorMessage="1" errorTitle="ОШИБКА ВВОДА" error="Необходимо вводить только числа с использованием точки в качестве десятичного разделителя" sqref="C27:V27 C29:V30"/>
  </dataValidations>
  <pageMargins left="0.82677165354330717" right="0.39370078740157483" top="0.6692913385826772" bottom="0.59055118110236227" header="0.19685039370078741" footer="0.19685039370078741"/>
  <pageSetup paperSize="9" scale="63" fitToHeight="7" orientation="landscape" r:id="rId1"/>
  <headerFooter differentFirst="1"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DY55"/>
  <sheetViews>
    <sheetView topLeftCell="A13" workbookViewId="0">
      <selection activeCell="CE55" sqref="CE55"/>
    </sheetView>
  </sheetViews>
  <sheetFormatPr defaultColWidth="0.85546875" defaultRowHeight="12.75" x14ac:dyDescent="0.2"/>
  <cols>
    <col min="1" max="23" width="0.85546875" style="2"/>
    <col min="24" max="24" width="0.7109375" style="2" customWidth="1"/>
    <col min="25" max="39" width="0.85546875" style="2"/>
    <col min="40" max="40" width="1.140625" style="2" customWidth="1"/>
    <col min="41" max="51" width="0.85546875" style="2"/>
    <col min="52" max="52" width="9.42578125" style="2" customWidth="1"/>
    <col min="53" max="53" width="7.140625" style="2" customWidth="1"/>
    <col min="54" max="78" width="0.85546875" style="2"/>
    <col min="79" max="79" width="2.7109375" style="2" customWidth="1"/>
    <col min="80" max="104" width="0.85546875" style="2"/>
    <col min="105" max="105" width="1.5703125" style="2" customWidth="1"/>
    <col min="106" max="16384" width="0.85546875" style="2"/>
  </cols>
  <sheetData>
    <row r="1" spans="1:106" ht="41.45" customHeight="1" x14ac:dyDescent="0.2">
      <c r="BU1" s="354" t="s">
        <v>149</v>
      </c>
      <c r="BV1" s="354"/>
      <c r="BW1" s="354"/>
      <c r="BX1" s="354"/>
      <c r="BY1" s="354"/>
      <c r="BZ1" s="354"/>
      <c r="CA1" s="354"/>
      <c r="CB1" s="354"/>
      <c r="CC1" s="354"/>
      <c r="CD1" s="354"/>
      <c r="CE1" s="354"/>
      <c r="CF1" s="354"/>
      <c r="CG1" s="354"/>
      <c r="CH1" s="354"/>
      <c r="CI1" s="354"/>
      <c r="CJ1" s="354"/>
      <c r="CK1" s="354"/>
      <c r="CL1" s="354"/>
      <c r="CM1" s="354"/>
      <c r="CN1" s="354"/>
      <c r="CO1" s="354"/>
      <c r="CP1" s="354"/>
      <c r="CQ1" s="354"/>
      <c r="CR1" s="354"/>
      <c r="CS1" s="354"/>
      <c r="CT1" s="354"/>
      <c r="CU1" s="354"/>
      <c r="CV1" s="354"/>
      <c r="CW1" s="354"/>
      <c r="CX1" s="354"/>
      <c r="CY1" s="354"/>
      <c r="CZ1" s="354"/>
      <c r="DA1" s="354"/>
    </row>
    <row r="2" spans="1:106" ht="23.1" customHeight="1" x14ac:dyDescent="0.2">
      <c r="CC2" s="105"/>
      <c r="CD2" s="105"/>
      <c r="CE2" s="105"/>
      <c r="CF2" s="105"/>
      <c r="CG2" s="105"/>
      <c r="CH2" s="105"/>
      <c r="CI2" s="105"/>
      <c r="CJ2" s="105"/>
      <c r="CK2" s="105"/>
      <c r="CL2" s="105"/>
      <c r="CM2" s="105"/>
      <c r="CN2" s="105"/>
      <c r="CO2" s="105"/>
      <c r="CP2" s="105"/>
      <c r="CQ2" s="105"/>
      <c r="CR2" s="105"/>
      <c r="CS2" s="105"/>
      <c r="CT2" s="105"/>
      <c r="CU2" s="105"/>
      <c r="CV2" s="105"/>
      <c r="CW2" s="105"/>
      <c r="CX2" s="105"/>
      <c r="CY2" s="105"/>
      <c r="CZ2" s="105"/>
      <c r="DA2" s="105"/>
    </row>
    <row r="3" spans="1:106" ht="15.75" x14ac:dyDescent="0.25">
      <c r="AZ3" s="1"/>
      <c r="BA3" s="393" t="s">
        <v>253</v>
      </c>
      <c r="BB3" s="393"/>
      <c r="BC3" s="393"/>
      <c r="BD3" s="393"/>
      <c r="BE3" s="393"/>
      <c r="BF3" s="393"/>
      <c r="BG3" s="393"/>
      <c r="BH3" s="393"/>
      <c r="BI3" s="393"/>
      <c r="BJ3" s="393"/>
      <c r="BK3" s="393"/>
      <c r="BL3" s="393"/>
      <c r="BM3" s="393"/>
      <c r="BN3" s="393"/>
      <c r="BO3" s="393"/>
      <c r="BP3" s="393"/>
      <c r="BQ3" s="393"/>
      <c r="BR3" s="393"/>
      <c r="BS3" s="393"/>
      <c r="BT3" s="393"/>
      <c r="BU3" s="393"/>
      <c r="BV3" s="393"/>
      <c r="BW3" s="393"/>
      <c r="BX3" s="393"/>
      <c r="BY3" s="393"/>
      <c r="BZ3" s="393"/>
      <c r="CA3" s="393"/>
      <c r="CB3" s="393"/>
      <c r="CC3" s="393"/>
      <c r="CD3" s="393"/>
      <c r="CE3" s="393"/>
      <c r="CF3" s="393"/>
      <c r="CG3" s="393"/>
      <c r="CH3" s="393"/>
      <c r="CI3" s="393"/>
      <c r="CJ3" s="393"/>
      <c r="CK3" s="393"/>
      <c r="CL3" s="393"/>
      <c r="CM3" s="393"/>
      <c r="CN3" s="393"/>
      <c r="CO3" s="393"/>
      <c r="CP3" s="393"/>
      <c r="CQ3" s="393"/>
      <c r="CR3" s="393"/>
      <c r="CS3" s="393"/>
      <c r="CT3" s="393"/>
      <c r="CU3" s="393"/>
      <c r="CV3" s="393"/>
      <c r="CW3" s="393"/>
      <c r="CX3" s="393"/>
      <c r="CY3" s="393"/>
      <c r="CZ3" s="393"/>
      <c r="DA3" s="393"/>
      <c r="DB3" s="1"/>
    </row>
    <row r="4" spans="1:106" ht="15.75" x14ac:dyDescent="0.25">
      <c r="AZ4" s="400" t="s">
        <v>315</v>
      </c>
      <c r="BA4" s="400"/>
      <c r="BB4" s="400"/>
      <c r="BC4" s="400"/>
      <c r="BD4" s="400"/>
      <c r="BE4" s="400"/>
      <c r="BF4" s="400"/>
      <c r="BG4" s="400"/>
      <c r="BH4" s="400"/>
      <c r="BI4" s="400"/>
      <c r="BJ4" s="400"/>
      <c r="BK4" s="400"/>
      <c r="BL4" s="400"/>
      <c r="BM4" s="400"/>
      <c r="BN4" s="400"/>
      <c r="BO4" s="400"/>
      <c r="BP4" s="400"/>
      <c r="BQ4" s="400"/>
      <c r="BR4" s="400"/>
      <c r="BS4" s="400"/>
      <c r="BT4" s="400"/>
      <c r="BU4" s="400"/>
      <c r="BV4" s="400"/>
      <c r="BW4" s="400"/>
      <c r="BX4" s="400"/>
      <c r="BY4" s="400"/>
      <c r="BZ4" s="400"/>
      <c r="CA4" s="400"/>
      <c r="CB4" s="400"/>
      <c r="CC4" s="400"/>
      <c r="CD4" s="400"/>
      <c r="CE4" s="400"/>
      <c r="CF4" s="400"/>
      <c r="CG4" s="400"/>
      <c r="CH4" s="400"/>
      <c r="CI4" s="400"/>
      <c r="CJ4" s="400"/>
      <c r="CK4" s="400"/>
      <c r="CL4" s="400"/>
      <c r="CM4" s="400"/>
      <c r="CN4" s="400"/>
      <c r="CO4" s="400"/>
      <c r="CP4" s="400"/>
      <c r="CQ4" s="400"/>
      <c r="CR4" s="400"/>
      <c r="CS4" s="400"/>
      <c r="CT4" s="400"/>
      <c r="CU4" s="400"/>
      <c r="CV4" s="400"/>
      <c r="CW4" s="400"/>
      <c r="CX4" s="400"/>
      <c r="CY4" s="400"/>
      <c r="CZ4" s="400"/>
      <c r="DA4" s="207"/>
      <c r="DB4" s="207"/>
    </row>
    <row r="5" spans="1:106" ht="15.75" x14ac:dyDescent="0.25"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6"/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/>
      <c r="CJ5" s="86"/>
      <c r="CK5" s="86"/>
      <c r="CL5" s="86"/>
      <c r="CM5" s="86"/>
      <c r="CN5" s="86"/>
      <c r="CO5" s="86"/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207"/>
      <c r="DB5" s="207"/>
    </row>
    <row r="6" spans="1:106" ht="15.6" customHeight="1" x14ac:dyDescent="0.25">
      <c r="AZ6" s="401" t="s">
        <v>311</v>
      </c>
      <c r="BA6" s="401"/>
      <c r="BB6" s="401"/>
      <c r="BC6" s="401"/>
      <c r="BD6" s="401"/>
      <c r="BE6" s="401"/>
      <c r="BF6" s="401"/>
      <c r="BG6" s="401"/>
      <c r="BH6" s="401"/>
      <c r="BI6" s="401"/>
      <c r="BJ6" s="401"/>
      <c r="BK6" s="401"/>
      <c r="BL6" s="401"/>
      <c r="BM6" s="401"/>
      <c r="BN6" s="401"/>
      <c r="BO6" s="401"/>
      <c r="BP6" s="401"/>
      <c r="BQ6" s="401"/>
      <c r="BR6" s="401"/>
      <c r="BS6" s="401"/>
      <c r="BT6" s="401"/>
      <c r="BU6" s="401"/>
      <c r="BV6" s="401"/>
      <c r="BW6" s="401"/>
      <c r="BX6" s="401"/>
      <c r="BY6" s="401"/>
      <c r="BZ6" s="401"/>
      <c r="CA6" s="401"/>
      <c r="CB6" s="401"/>
      <c r="CC6" s="401"/>
      <c r="CD6" s="401"/>
      <c r="CE6" s="401"/>
      <c r="CF6" s="401"/>
      <c r="CG6" s="401"/>
      <c r="CH6" s="401"/>
      <c r="CI6" s="401"/>
      <c r="CJ6" s="401"/>
      <c r="CK6" s="401"/>
      <c r="CL6" s="401"/>
      <c r="CM6" s="401"/>
      <c r="CN6" s="401"/>
      <c r="CO6" s="401"/>
      <c r="CP6" s="401"/>
      <c r="CQ6" s="401"/>
      <c r="CR6" s="401"/>
      <c r="CS6" s="401"/>
      <c r="CT6" s="401"/>
      <c r="CU6" s="401"/>
      <c r="CV6" s="401"/>
      <c r="CW6" s="401"/>
      <c r="CX6" s="401"/>
      <c r="CY6" s="401"/>
      <c r="CZ6" s="401"/>
      <c r="DA6" s="207"/>
      <c r="DB6" s="207"/>
    </row>
    <row r="7" spans="1:106" ht="15.75" x14ac:dyDescent="0.25"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398" t="s">
        <v>11</v>
      </c>
      <c r="BO7" s="398"/>
      <c r="BP7" s="398"/>
      <c r="BQ7" s="398"/>
      <c r="BR7" s="398"/>
      <c r="BS7" s="398"/>
      <c r="BT7" s="398"/>
      <c r="BU7" s="398"/>
      <c r="BV7" s="398"/>
      <c r="BW7" s="398"/>
      <c r="BX7" s="398"/>
      <c r="BY7" s="398"/>
      <c r="BZ7" s="398"/>
      <c r="CA7" s="398"/>
      <c r="CB7" s="398"/>
      <c r="CC7" s="398"/>
      <c r="CD7" s="398"/>
      <c r="CE7" s="398"/>
      <c r="CF7" s="398"/>
      <c r="CG7" s="398"/>
      <c r="CH7" s="398"/>
      <c r="CI7" s="398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</row>
    <row r="8" spans="1:106" ht="15.75" x14ac:dyDescent="0.25"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</row>
    <row r="9" spans="1:106" ht="15.75" x14ac:dyDescent="0.25"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399" t="s">
        <v>324</v>
      </c>
      <c r="BO9" s="399"/>
      <c r="BP9" s="399"/>
      <c r="BQ9" s="399"/>
      <c r="BR9" s="399"/>
      <c r="BS9" s="399"/>
      <c r="BT9" s="399"/>
      <c r="BU9" s="399"/>
      <c r="BV9" s="399"/>
      <c r="BW9" s="399"/>
      <c r="BX9" s="399"/>
      <c r="BY9" s="399"/>
      <c r="BZ9" s="399"/>
      <c r="CA9" s="399"/>
      <c r="CB9" s="399"/>
      <c r="CC9" s="399"/>
      <c r="CD9" s="399"/>
      <c r="CE9" s="399"/>
      <c r="CF9" s="399"/>
      <c r="CG9" s="399"/>
      <c r="CH9" s="399"/>
      <c r="CI9" s="399"/>
      <c r="CJ9" s="399"/>
      <c r="CK9" s="399"/>
      <c r="CL9" s="399"/>
      <c r="CM9" s="399"/>
      <c r="CN9" s="399"/>
      <c r="CO9" s="399"/>
      <c r="CP9" s="399"/>
      <c r="CQ9" s="399"/>
      <c r="CR9" s="399"/>
      <c r="CS9" s="399"/>
      <c r="CT9" s="399"/>
      <c r="CU9" s="399"/>
      <c r="CV9" s="399"/>
      <c r="CW9" s="399"/>
      <c r="CX9" s="399"/>
      <c r="CY9" s="399"/>
      <c r="CZ9" s="399"/>
      <c r="DA9" s="399"/>
      <c r="DB9" s="1"/>
    </row>
    <row r="10" spans="1:106" ht="15.75" x14ac:dyDescent="0.25"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202"/>
      <c r="BZ10" s="398"/>
      <c r="CA10" s="398"/>
      <c r="CB10" s="398"/>
      <c r="CC10" s="398"/>
      <c r="CD10" s="398"/>
      <c r="CE10" s="398"/>
      <c r="CF10" s="398"/>
      <c r="CG10" s="398"/>
      <c r="CH10" s="398"/>
      <c r="CI10" s="398"/>
      <c r="CJ10" s="398"/>
      <c r="CK10" s="398"/>
      <c r="CL10" s="398"/>
      <c r="CM10" s="398"/>
      <c r="CN10" s="398"/>
      <c r="CO10" s="398"/>
      <c r="CP10" s="398"/>
      <c r="CQ10" s="398"/>
      <c r="CR10" s="398"/>
      <c r="CS10" s="398"/>
      <c r="CT10" s="398"/>
      <c r="CU10" s="398"/>
      <c r="CV10" s="398"/>
      <c r="CW10" s="398"/>
      <c r="CX10" s="398"/>
      <c r="CY10" s="398"/>
      <c r="CZ10" s="398"/>
      <c r="DA10" s="398"/>
      <c r="DB10" s="1"/>
    </row>
    <row r="11" spans="1:106" ht="15.75" x14ac:dyDescent="0.25"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201" t="s">
        <v>12</v>
      </c>
      <c r="DB11" s="1"/>
    </row>
    <row r="12" spans="1:106" s="57" customFormat="1" ht="15.75" x14ac:dyDescent="0.25">
      <c r="K12" s="394" t="s">
        <v>170</v>
      </c>
      <c r="L12" s="394"/>
      <c r="M12" s="394"/>
      <c r="N12" s="394"/>
      <c r="O12" s="394"/>
      <c r="P12" s="394"/>
      <c r="Q12" s="394"/>
      <c r="R12" s="394"/>
      <c r="S12" s="394"/>
      <c r="T12" s="394"/>
      <c r="U12" s="394"/>
      <c r="V12" s="394"/>
      <c r="W12" s="394"/>
      <c r="X12" s="394"/>
      <c r="Y12" s="394"/>
      <c r="Z12" s="394"/>
      <c r="AA12" s="394"/>
      <c r="AB12" s="394"/>
      <c r="AC12" s="394"/>
      <c r="AD12" s="394"/>
      <c r="AE12" s="394"/>
      <c r="AF12" s="394"/>
      <c r="AG12" s="394"/>
      <c r="AH12" s="394"/>
      <c r="AI12" s="394"/>
      <c r="AJ12" s="394"/>
      <c r="AK12" s="394"/>
      <c r="AL12" s="394"/>
      <c r="AM12" s="394"/>
      <c r="AN12" s="394"/>
      <c r="AO12" s="394"/>
      <c r="AP12" s="394"/>
      <c r="AQ12" s="394"/>
      <c r="AR12" s="394"/>
      <c r="AS12" s="394"/>
      <c r="AT12" s="394"/>
      <c r="AU12" s="394"/>
      <c r="AV12" s="394"/>
      <c r="AW12" s="394"/>
      <c r="AX12" s="394"/>
      <c r="AY12" s="394"/>
      <c r="AZ12" s="394"/>
      <c r="BA12" s="394"/>
      <c r="BB12" s="394"/>
      <c r="BC12" s="394"/>
      <c r="BD12" s="394"/>
      <c r="BE12" s="395" t="s">
        <v>318</v>
      </c>
      <c r="BF12" s="395"/>
      <c r="BG12" s="395"/>
      <c r="BH12" s="395"/>
      <c r="BI12" s="396" t="s">
        <v>148</v>
      </c>
      <c r="BJ12" s="396"/>
      <c r="BK12" s="396"/>
      <c r="BL12" s="396"/>
      <c r="BM12" s="396"/>
      <c r="BN12" s="396"/>
      <c r="BO12" s="396"/>
      <c r="BP12" s="396"/>
      <c r="BQ12" s="396"/>
      <c r="BR12" s="396"/>
      <c r="BS12" s="395" t="s">
        <v>245</v>
      </c>
      <c r="BT12" s="395"/>
      <c r="BU12" s="395"/>
      <c r="BV12" s="395"/>
      <c r="BW12" s="395"/>
      <c r="BX12" s="395"/>
      <c r="BY12" s="395"/>
      <c r="BZ12" s="397" t="s">
        <v>147</v>
      </c>
      <c r="CA12" s="397"/>
      <c r="CB12" s="397"/>
      <c r="CC12" s="397"/>
      <c r="CD12" s="397"/>
      <c r="CE12" s="397"/>
      <c r="CF12" s="395" t="s">
        <v>156</v>
      </c>
      <c r="CG12" s="395"/>
      <c r="CH12" s="395"/>
      <c r="CI12" s="395"/>
      <c r="CJ12" s="395"/>
      <c r="CK12" s="395"/>
      <c r="CL12" s="395"/>
      <c r="CM12" s="394" t="s">
        <v>171</v>
      </c>
      <c r="CN12" s="394"/>
      <c r="CO12" s="394"/>
      <c r="CP12" s="394"/>
      <c r="CQ12" s="394"/>
      <c r="CR12" s="394"/>
      <c r="CS12" s="394"/>
      <c r="CT12" s="394"/>
      <c r="CU12" s="394"/>
    </row>
    <row r="13" spans="1:106" s="57" customFormat="1" ht="15.75" x14ac:dyDescent="0.25"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01"/>
      <c r="AA13" s="101"/>
      <c r="AB13" s="101"/>
      <c r="AC13" s="101"/>
      <c r="AD13" s="101"/>
      <c r="AE13" s="101"/>
      <c r="AF13" s="101"/>
      <c r="AG13" s="101"/>
      <c r="AH13" s="101"/>
      <c r="AI13" s="101"/>
      <c r="AJ13" s="101"/>
      <c r="AK13" s="101"/>
      <c r="AL13" s="101"/>
      <c r="AM13" s="101"/>
      <c r="AN13" s="101"/>
      <c r="AO13" s="101"/>
      <c r="AP13" s="101"/>
      <c r="AQ13" s="101"/>
      <c r="AR13" s="101"/>
      <c r="AS13" s="101"/>
      <c r="AT13" s="101"/>
      <c r="AU13" s="101"/>
      <c r="AV13" s="101"/>
      <c r="AW13" s="101"/>
      <c r="AX13" s="101"/>
      <c r="AY13" s="101"/>
      <c r="AZ13" s="101"/>
      <c r="BA13" s="101"/>
      <c r="BB13" s="101"/>
      <c r="BC13" s="101"/>
      <c r="BD13" s="101"/>
      <c r="BE13" s="87"/>
      <c r="BF13" s="87"/>
      <c r="BG13" s="87"/>
      <c r="BH13" s="87"/>
      <c r="BI13" s="102"/>
      <c r="BJ13" s="102"/>
      <c r="BK13" s="102"/>
      <c r="BL13" s="102"/>
      <c r="BM13" s="102"/>
      <c r="BN13" s="102"/>
      <c r="BO13" s="102"/>
      <c r="BP13" s="102"/>
      <c r="BQ13" s="102"/>
      <c r="BR13" s="102"/>
      <c r="BS13" s="87"/>
      <c r="BT13" s="87"/>
      <c r="BU13" s="87"/>
      <c r="BV13" s="87"/>
      <c r="BW13" s="87"/>
      <c r="BX13" s="87"/>
      <c r="BY13" s="87"/>
      <c r="BZ13" s="103"/>
      <c r="CA13" s="103"/>
      <c r="CB13" s="103"/>
      <c r="CC13" s="103"/>
      <c r="CD13" s="103"/>
      <c r="CE13" s="103"/>
      <c r="CF13" s="87"/>
      <c r="CG13" s="87"/>
      <c r="CH13" s="87"/>
      <c r="CI13" s="87"/>
      <c r="CJ13" s="87"/>
      <c r="CK13" s="87"/>
      <c r="CL13" s="87"/>
      <c r="CM13" s="101"/>
      <c r="CN13" s="101"/>
      <c r="CO13" s="101"/>
      <c r="CP13" s="101"/>
      <c r="CQ13" s="101"/>
      <c r="CR13" s="101"/>
      <c r="CS13" s="101"/>
      <c r="CT13" s="101"/>
      <c r="CU13" s="101"/>
    </row>
    <row r="15" spans="1:106" ht="12.95" customHeight="1" x14ac:dyDescent="0.2">
      <c r="A15" s="390" t="s">
        <v>146</v>
      </c>
      <c r="B15" s="391"/>
      <c r="C15" s="391"/>
      <c r="D15" s="391"/>
      <c r="E15" s="391"/>
      <c r="F15" s="391"/>
      <c r="G15" s="391"/>
      <c r="H15" s="391"/>
      <c r="I15" s="391"/>
      <c r="J15" s="391"/>
      <c r="K15" s="391"/>
      <c r="L15" s="391"/>
      <c r="M15" s="391"/>
      <c r="N15" s="391"/>
      <c r="O15" s="391"/>
      <c r="P15" s="391"/>
      <c r="Q15" s="391"/>
      <c r="R15" s="391"/>
      <c r="S15" s="391"/>
      <c r="T15" s="391"/>
      <c r="U15" s="391"/>
      <c r="V15" s="391"/>
      <c r="W15" s="391"/>
      <c r="X15" s="391"/>
      <c r="Y15" s="391"/>
      <c r="Z15" s="391"/>
      <c r="AA15" s="391"/>
      <c r="AB15" s="391"/>
      <c r="AC15" s="391"/>
      <c r="AD15" s="391"/>
      <c r="AE15" s="391"/>
      <c r="AF15" s="391"/>
      <c r="AG15" s="391"/>
      <c r="AH15" s="391"/>
      <c r="AI15" s="391"/>
      <c r="AJ15" s="391"/>
      <c r="AK15" s="391"/>
      <c r="AL15" s="391"/>
      <c r="AM15" s="391"/>
      <c r="AN15" s="391"/>
      <c r="AO15" s="391"/>
      <c r="AP15" s="391"/>
      <c r="AQ15" s="391"/>
      <c r="AR15" s="391"/>
      <c r="AS15" s="391"/>
      <c r="AT15" s="391"/>
      <c r="AU15" s="391"/>
      <c r="AV15" s="391"/>
      <c r="AW15" s="391"/>
      <c r="AX15" s="391"/>
      <c r="AY15" s="391"/>
      <c r="AZ15" s="391"/>
      <c r="BA15" s="392"/>
      <c r="BB15" s="381" t="s">
        <v>144</v>
      </c>
      <c r="BC15" s="382"/>
      <c r="BD15" s="382"/>
      <c r="BE15" s="382"/>
      <c r="BF15" s="382"/>
      <c r="BG15" s="382"/>
      <c r="BH15" s="382"/>
      <c r="BI15" s="382"/>
      <c r="BJ15" s="382"/>
      <c r="BK15" s="382"/>
      <c r="BL15" s="382"/>
      <c r="BM15" s="382"/>
      <c r="BN15" s="382"/>
      <c r="BO15" s="382"/>
      <c r="BP15" s="382"/>
      <c r="BQ15" s="382"/>
      <c r="BR15" s="382"/>
      <c r="BS15" s="382"/>
      <c r="BT15" s="382"/>
      <c r="BU15" s="382"/>
      <c r="BV15" s="382"/>
      <c r="BW15" s="382"/>
      <c r="BX15" s="382"/>
      <c r="BY15" s="382"/>
      <c r="BZ15" s="382"/>
      <c r="CA15" s="383"/>
      <c r="CB15" s="381" t="s">
        <v>157</v>
      </c>
      <c r="CC15" s="382"/>
      <c r="CD15" s="382"/>
      <c r="CE15" s="382"/>
      <c r="CF15" s="382"/>
      <c r="CG15" s="382"/>
      <c r="CH15" s="382"/>
      <c r="CI15" s="382"/>
      <c r="CJ15" s="382"/>
      <c r="CK15" s="382"/>
      <c r="CL15" s="382"/>
      <c r="CM15" s="382"/>
      <c r="CN15" s="382"/>
      <c r="CO15" s="382"/>
      <c r="CP15" s="382"/>
      <c r="CQ15" s="382"/>
      <c r="CR15" s="382"/>
      <c r="CS15" s="382"/>
      <c r="CT15" s="382"/>
      <c r="CU15" s="382"/>
      <c r="CV15" s="382"/>
      <c r="CW15" s="382"/>
      <c r="CX15" s="382"/>
      <c r="CY15" s="382"/>
      <c r="CZ15" s="382"/>
      <c r="DA15" s="383"/>
    </row>
    <row r="16" spans="1:106" x14ac:dyDescent="0.2">
      <c r="A16" s="387" t="s">
        <v>145</v>
      </c>
      <c r="B16" s="388"/>
      <c r="C16" s="388"/>
      <c r="D16" s="388"/>
      <c r="E16" s="388"/>
      <c r="F16" s="388"/>
      <c r="G16" s="388"/>
      <c r="H16" s="388"/>
      <c r="I16" s="388"/>
      <c r="J16" s="388"/>
      <c r="K16" s="388"/>
      <c r="L16" s="388"/>
      <c r="M16" s="388"/>
      <c r="N16" s="388"/>
      <c r="O16" s="388"/>
      <c r="P16" s="388"/>
      <c r="Q16" s="388"/>
      <c r="R16" s="388"/>
      <c r="S16" s="388"/>
      <c r="T16" s="388"/>
      <c r="U16" s="388"/>
      <c r="V16" s="388"/>
      <c r="W16" s="388"/>
      <c r="X16" s="388"/>
      <c r="Y16" s="388"/>
      <c r="Z16" s="388"/>
      <c r="AA16" s="388"/>
      <c r="AB16" s="388"/>
      <c r="AC16" s="388"/>
      <c r="AD16" s="388"/>
      <c r="AE16" s="388"/>
      <c r="AF16" s="388"/>
      <c r="AG16" s="388"/>
      <c r="AH16" s="388"/>
      <c r="AI16" s="388"/>
      <c r="AJ16" s="388"/>
      <c r="AK16" s="388"/>
      <c r="AL16" s="388"/>
      <c r="AM16" s="388"/>
      <c r="AN16" s="388"/>
      <c r="AO16" s="388"/>
      <c r="AP16" s="388"/>
      <c r="AQ16" s="388"/>
      <c r="AR16" s="388"/>
      <c r="AS16" s="388"/>
      <c r="AT16" s="388"/>
      <c r="AU16" s="388"/>
      <c r="AV16" s="388"/>
      <c r="AW16" s="388"/>
      <c r="AX16" s="388"/>
      <c r="AY16" s="388"/>
      <c r="AZ16" s="388"/>
      <c r="BA16" s="389"/>
      <c r="BB16" s="384"/>
      <c r="BC16" s="385"/>
      <c r="BD16" s="385"/>
      <c r="BE16" s="385"/>
      <c r="BF16" s="385"/>
      <c r="BG16" s="385"/>
      <c r="BH16" s="385"/>
      <c r="BI16" s="385"/>
      <c r="BJ16" s="385"/>
      <c r="BK16" s="385"/>
      <c r="BL16" s="385"/>
      <c r="BM16" s="385"/>
      <c r="BN16" s="385"/>
      <c r="BO16" s="385"/>
      <c r="BP16" s="385"/>
      <c r="BQ16" s="385"/>
      <c r="BR16" s="385"/>
      <c r="BS16" s="385"/>
      <c r="BT16" s="385"/>
      <c r="BU16" s="385"/>
      <c r="BV16" s="385"/>
      <c r="BW16" s="385"/>
      <c r="BX16" s="385"/>
      <c r="BY16" s="385"/>
      <c r="BZ16" s="385"/>
      <c r="CA16" s="386"/>
      <c r="CB16" s="384"/>
      <c r="CC16" s="385"/>
      <c r="CD16" s="385"/>
      <c r="CE16" s="385"/>
      <c r="CF16" s="385"/>
      <c r="CG16" s="385"/>
      <c r="CH16" s="385"/>
      <c r="CI16" s="385"/>
      <c r="CJ16" s="385"/>
      <c r="CK16" s="385"/>
      <c r="CL16" s="385"/>
      <c r="CM16" s="385"/>
      <c r="CN16" s="385"/>
      <c r="CO16" s="385"/>
      <c r="CP16" s="385"/>
      <c r="CQ16" s="385"/>
      <c r="CR16" s="385"/>
      <c r="CS16" s="385"/>
      <c r="CT16" s="385"/>
      <c r="CU16" s="385"/>
      <c r="CV16" s="385"/>
      <c r="CW16" s="385"/>
      <c r="CX16" s="385"/>
      <c r="CY16" s="385"/>
      <c r="CZ16" s="385"/>
      <c r="DA16" s="386"/>
    </row>
    <row r="17" spans="1:105" x14ac:dyDescent="0.2">
      <c r="A17" s="387">
        <v>1</v>
      </c>
      <c r="B17" s="388"/>
      <c r="C17" s="388"/>
      <c r="D17" s="388"/>
      <c r="E17" s="388"/>
      <c r="F17" s="388"/>
      <c r="G17" s="388"/>
      <c r="H17" s="388"/>
      <c r="I17" s="388"/>
      <c r="J17" s="388"/>
      <c r="K17" s="388"/>
      <c r="L17" s="388"/>
      <c r="M17" s="388"/>
      <c r="N17" s="388"/>
      <c r="O17" s="388"/>
      <c r="P17" s="388"/>
      <c r="Q17" s="388"/>
      <c r="R17" s="388"/>
      <c r="S17" s="388"/>
      <c r="T17" s="388"/>
      <c r="U17" s="388"/>
      <c r="V17" s="388"/>
      <c r="W17" s="388"/>
      <c r="X17" s="388"/>
      <c r="Y17" s="388"/>
      <c r="Z17" s="388"/>
      <c r="AA17" s="388"/>
      <c r="AB17" s="388"/>
      <c r="AC17" s="388"/>
      <c r="AD17" s="388"/>
      <c r="AE17" s="388"/>
      <c r="AF17" s="388"/>
      <c r="AG17" s="388"/>
      <c r="AH17" s="388"/>
      <c r="AI17" s="388"/>
      <c r="AJ17" s="388"/>
      <c r="AK17" s="388"/>
      <c r="AL17" s="388"/>
      <c r="AM17" s="388"/>
      <c r="AN17" s="388"/>
      <c r="AO17" s="388"/>
      <c r="AP17" s="388"/>
      <c r="AQ17" s="388"/>
      <c r="AR17" s="388"/>
      <c r="AS17" s="388"/>
      <c r="AT17" s="388"/>
      <c r="AU17" s="388"/>
      <c r="AV17" s="388"/>
      <c r="AW17" s="388"/>
      <c r="AX17" s="388"/>
      <c r="AY17" s="388"/>
      <c r="AZ17" s="388"/>
      <c r="BA17" s="389"/>
      <c r="BB17" s="387">
        <v>2</v>
      </c>
      <c r="BC17" s="388"/>
      <c r="BD17" s="388"/>
      <c r="BE17" s="388"/>
      <c r="BF17" s="388"/>
      <c r="BG17" s="388"/>
      <c r="BH17" s="388"/>
      <c r="BI17" s="388"/>
      <c r="BJ17" s="388"/>
      <c r="BK17" s="388"/>
      <c r="BL17" s="388"/>
      <c r="BM17" s="388"/>
      <c r="BN17" s="388"/>
      <c r="BO17" s="388"/>
      <c r="BP17" s="388"/>
      <c r="BQ17" s="388"/>
      <c r="BR17" s="388"/>
      <c r="BS17" s="388"/>
      <c r="BT17" s="388"/>
      <c r="BU17" s="388"/>
      <c r="BV17" s="388"/>
      <c r="BW17" s="388"/>
      <c r="BX17" s="388"/>
      <c r="BY17" s="388"/>
      <c r="BZ17" s="388"/>
      <c r="CA17" s="389"/>
      <c r="CB17" s="387">
        <v>3</v>
      </c>
      <c r="CC17" s="388"/>
      <c r="CD17" s="388"/>
      <c r="CE17" s="388"/>
      <c r="CF17" s="388"/>
      <c r="CG17" s="388"/>
      <c r="CH17" s="388"/>
      <c r="CI17" s="388"/>
      <c r="CJ17" s="388"/>
      <c r="CK17" s="388"/>
      <c r="CL17" s="388"/>
      <c r="CM17" s="388"/>
      <c r="CN17" s="388"/>
      <c r="CO17" s="388"/>
      <c r="CP17" s="388"/>
      <c r="CQ17" s="388"/>
      <c r="CR17" s="388"/>
      <c r="CS17" s="388"/>
      <c r="CT17" s="388"/>
      <c r="CU17" s="388"/>
      <c r="CV17" s="388"/>
      <c r="CW17" s="388"/>
      <c r="CX17" s="388"/>
      <c r="CY17" s="388"/>
      <c r="CZ17" s="388"/>
      <c r="DA17" s="389"/>
    </row>
    <row r="18" spans="1:105" s="4" customFormat="1" x14ac:dyDescent="0.2">
      <c r="A18" s="7"/>
      <c r="B18" s="355" t="s">
        <v>143</v>
      </c>
      <c r="C18" s="355"/>
      <c r="D18" s="355"/>
      <c r="E18" s="355"/>
      <c r="F18" s="355"/>
      <c r="G18" s="355"/>
      <c r="H18" s="355"/>
      <c r="I18" s="355"/>
      <c r="J18" s="355"/>
      <c r="K18" s="355"/>
      <c r="L18" s="355"/>
      <c r="M18" s="355"/>
      <c r="N18" s="355"/>
      <c r="O18" s="355"/>
      <c r="P18" s="355"/>
      <c r="Q18" s="355"/>
      <c r="R18" s="355"/>
      <c r="S18" s="355"/>
      <c r="T18" s="355"/>
      <c r="U18" s="355"/>
      <c r="V18" s="355"/>
      <c r="W18" s="355"/>
      <c r="X18" s="355"/>
      <c r="Y18" s="355"/>
      <c r="Z18" s="355"/>
      <c r="AA18" s="355"/>
      <c r="AB18" s="355"/>
      <c r="AC18" s="355"/>
      <c r="AD18" s="355"/>
      <c r="AE18" s="355"/>
      <c r="AF18" s="355"/>
      <c r="AG18" s="355"/>
      <c r="AH18" s="355"/>
      <c r="AI18" s="355"/>
      <c r="AJ18" s="355"/>
      <c r="AK18" s="355"/>
      <c r="AL18" s="355"/>
      <c r="AM18" s="355"/>
      <c r="AN18" s="355"/>
      <c r="AO18" s="355"/>
      <c r="AP18" s="355"/>
      <c r="AQ18" s="355"/>
      <c r="AR18" s="355"/>
      <c r="AS18" s="355"/>
      <c r="AT18" s="355"/>
      <c r="AU18" s="355"/>
      <c r="AV18" s="355"/>
      <c r="AW18" s="355"/>
      <c r="AX18" s="355"/>
      <c r="AY18" s="355"/>
      <c r="AZ18" s="355"/>
      <c r="BA18" s="356"/>
      <c r="BB18" s="357">
        <v>307375</v>
      </c>
      <c r="BC18" s="358"/>
      <c r="BD18" s="358"/>
      <c r="BE18" s="358"/>
      <c r="BF18" s="358"/>
      <c r="BG18" s="358"/>
      <c r="BH18" s="358"/>
      <c r="BI18" s="358"/>
      <c r="BJ18" s="358"/>
      <c r="BK18" s="358"/>
      <c r="BL18" s="358"/>
      <c r="BM18" s="358"/>
      <c r="BN18" s="358"/>
      <c r="BO18" s="358"/>
      <c r="BP18" s="358"/>
      <c r="BQ18" s="358"/>
      <c r="BR18" s="358"/>
      <c r="BS18" s="358"/>
      <c r="BT18" s="358"/>
      <c r="BU18" s="358"/>
      <c r="BV18" s="358"/>
      <c r="BW18" s="358"/>
      <c r="BX18" s="358"/>
      <c r="BY18" s="358"/>
      <c r="BZ18" s="358"/>
      <c r="CA18" s="359"/>
      <c r="CB18" s="357">
        <v>434252</v>
      </c>
      <c r="CC18" s="358"/>
      <c r="CD18" s="358"/>
      <c r="CE18" s="358"/>
      <c r="CF18" s="358"/>
      <c r="CG18" s="358"/>
      <c r="CH18" s="358"/>
      <c r="CI18" s="358"/>
      <c r="CJ18" s="358"/>
      <c r="CK18" s="358"/>
      <c r="CL18" s="358"/>
      <c r="CM18" s="358"/>
      <c r="CN18" s="358"/>
      <c r="CO18" s="358"/>
      <c r="CP18" s="358"/>
      <c r="CQ18" s="358"/>
      <c r="CR18" s="358"/>
      <c r="CS18" s="358"/>
      <c r="CT18" s="358"/>
      <c r="CU18" s="358"/>
      <c r="CV18" s="358"/>
      <c r="CW18" s="358"/>
      <c r="CX18" s="358"/>
      <c r="CY18" s="358"/>
      <c r="CZ18" s="358"/>
      <c r="DA18" s="359"/>
    </row>
    <row r="19" spans="1:105" s="4" customFormat="1" x14ac:dyDescent="0.2">
      <c r="A19" s="7"/>
      <c r="B19" s="355" t="s">
        <v>142</v>
      </c>
      <c r="C19" s="355"/>
      <c r="D19" s="355"/>
      <c r="E19" s="355"/>
      <c r="F19" s="355"/>
      <c r="G19" s="355"/>
      <c r="H19" s="355"/>
      <c r="I19" s="355"/>
      <c r="J19" s="355"/>
      <c r="K19" s="355"/>
      <c r="L19" s="355"/>
      <c r="M19" s="355"/>
      <c r="N19" s="355"/>
      <c r="O19" s="355"/>
      <c r="P19" s="355"/>
      <c r="Q19" s="355"/>
      <c r="R19" s="355"/>
      <c r="S19" s="355"/>
      <c r="T19" s="355"/>
      <c r="U19" s="355"/>
      <c r="V19" s="355"/>
      <c r="W19" s="355"/>
      <c r="X19" s="355"/>
      <c r="Y19" s="355"/>
      <c r="Z19" s="355"/>
      <c r="AA19" s="355"/>
      <c r="AB19" s="355"/>
      <c r="AC19" s="355"/>
      <c r="AD19" s="355"/>
      <c r="AE19" s="355"/>
      <c r="AF19" s="355"/>
      <c r="AG19" s="355"/>
      <c r="AH19" s="355"/>
      <c r="AI19" s="355"/>
      <c r="AJ19" s="355"/>
      <c r="AK19" s="355"/>
      <c r="AL19" s="355"/>
      <c r="AM19" s="355"/>
      <c r="AN19" s="355"/>
      <c r="AO19" s="355"/>
      <c r="AP19" s="355"/>
      <c r="AQ19" s="355"/>
      <c r="AR19" s="355"/>
      <c r="AS19" s="355"/>
      <c r="AT19" s="355"/>
      <c r="AU19" s="355"/>
      <c r="AV19" s="355"/>
      <c r="AW19" s="355"/>
      <c r="AX19" s="355"/>
      <c r="AY19" s="355"/>
      <c r="AZ19" s="355"/>
      <c r="BA19" s="356"/>
      <c r="BB19" s="357">
        <v>-2230</v>
      </c>
      <c r="BC19" s="358"/>
      <c r="BD19" s="358"/>
      <c r="BE19" s="358"/>
      <c r="BF19" s="358"/>
      <c r="BG19" s="358"/>
      <c r="BH19" s="358"/>
      <c r="BI19" s="358"/>
      <c r="BJ19" s="358"/>
      <c r="BK19" s="358"/>
      <c r="BL19" s="358"/>
      <c r="BM19" s="358"/>
      <c r="BN19" s="358"/>
      <c r="BO19" s="358"/>
      <c r="BP19" s="358"/>
      <c r="BQ19" s="358"/>
      <c r="BR19" s="358"/>
      <c r="BS19" s="358"/>
      <c r="BT19" s="358"/>
      <c r="BU19" s="358"/>
      <c r="BV19" s="358"/>
      <c r="BW19" s="358"/>
      <c r="BX19" s="358"/>
      <c r="BY19" s="358"/>
      <c r="BZ19" s="358"/>
      <c r="CA19" s="359"/>
      <c r="CB19" s="357">
        <v>-9066</v>
      </c>
      <c r="CC19" s="358"/>
      <c r="CD19" s="358"/>
      <c r="CE19" s="358"/>
      <c r="CF19" s="358"/>
      <c r="CG19" s="358"/>
      <c r="CH19" s="358"/>
      <c r="CI19" s="358"/>
      <c r="CJ19" s="358"/>
      <c r="CK19" s="358"/>
      <c r="CL19" s="358"/>
      <c r="CM19" s="358"/>
      <c r="CN19" s="358"/>
      <c r="CO19" s="358"/>
      <c r="CP19" s="358"/>
      <c r="CQ19" s="358"/>
      <c r="CR19" s="358"/>
      <c r="CS19" s="358"/>
      <c r="CT19" s="358"/>
      <c r="CU19" s="358"/>
      <c r="CV19" s="358"/>
      <c r="CW19" s="358"/>
      <c r="CX19" s="358"/>
      <c r="CY19" s="358"/>
      <c r="CZ19" s="358"/>
      <c r="DA19" s="359"/>
    </row>
    <row r="20" spans="1:105" s="4" customFormat="1" x14ac:dyDescent="0.2">
      <c r="A20" s="7"/>
      <c r="B20" s="355" t="s">
        <v>141</v>
      </c>
      <c r="C20" s="355"/>
      <c r="D20" s="355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5"/>
      <c r="R20" s="355"/>
      <c r="S20" s="355"/>
      <c r="T20" s="355"/>
      <c r="U20" s="355"/>
      <c r="V20" s="355"/>
      <c r="W20" s="355"/>
      <c r="X20" s="355"/>
      <c r="Y20" s="355"/>
      <c r="Z20" s="355"/>
      <c r="AA20" s="355"/>
      <c r="AB20" s="355"/>
      <c r="AC20" s="355"/>
      <c r="AD20" s="355"/>
      <c r="AE20" s="355"/>
      <c r="AF20" s="355"/>
      <c r="AG20" s="355"/>
      <c r="AH20" s="355"/>
      <c r="AI20" s="355"/>
      <c r="AJ20" s="355"/>
      <c r="AK20" s="355"/>
      <c r="AL20" s="355"/>
      <c r="AM20" s="355"/>
      <c r="AN20" s="355"/>
      <c r="AO20" s="355"/>
      <c r="AP20" s="355"/>
      <c r="AQ20" s="355"/>
      <c r="AR20" s="355"/>
      <c r="AS20" s="355"/>
      <c r="AT20" s="355"/>
      <c r="AU20" s="355"/>
      <c r="AV20" s="355"/>
      <c r="AW20" s="355"/>
      <c r="AX20" s="355"/>
      <c r="AY20" s="355"/>
      <c r="AZ20" s="355"/>
      <c r="BA20" s="356"/>
      <c r="BB20" s="357"/>
      <c r="BC20" s="358"/>
      <c r="BD20" s="358"/>
      <c r="BE20" s="358"/>
      <c r="BF20" s="358"/>
      <c r="BG20" s="358"/>
      <c r="BH20" s="358"/>
      <c r="BI20" s="358"/>
      <c r="BJ20" s="358"/>
      <c r="BK20" s="358"/>
      <c r="BL20" s="358"/>
      <c r="BM20" s="358"/>
      <c r="BN20" s="358"/>
      <c r="BO20" s="358"/>
      <c r="BP20" s="358"/>
      <c r="BQ20" s="358"/>
      <c r="BR20" s="358"/>
      <c r="BS20" s="358"/>
      <c r="BT20" s="358"/>
      <c r="BU20" s="358"/>
      <c r="BV20" s="358"/>
      <c r="BW20" s="358"/>
      <c r="BX20" s="358"/>
      <c r="BY20" s="358"/>
      <c r="BZ20" s="358"/>
      <c r="CA20" s="359"/>
      <c r="CB20" s="357"/>
      <c r="CC20" s="358"/>
      <c r="CD20" s="358"/>
      <c r="CE20" s="358"/>
      <c r="CF20" s="358"/>
      <c r="CG20" s="358"/>
      <c r="CH20" s="358"/>
      <c r="CI20" s="358"/>
      <c r="CJ20" s="358"/>
      <c r="CK20" s="358"/>
      <c r="CL20" s="358"/>
      <c r="CM20" s="358"/>
      <c r="CN20" s="358"/>
      <c r="CO20" s="358"/>
      <c r="CP20" s="358"/>
      <c r="CQ20" s="358"/>
      <c r="CR20" s="358"/>
      <c r="CS20" s="358"/>
      <c r="CT20" s="358"/>
      <c r="CU20" s="358"/>
      <c r="CV20" s="358"/>
      <c r="CW20" s="358"/>
      <c r="CX20" s="358"/>
      <c r="CY20" s="358"/>
      <c r="CZ20" s="358"/>
      <c r="DA20" s="359"/>
    </row>
    <row r="21" spans="1:105" s="4" customFormat="1" x14ac:dyDescent="0.2">
      <c r="A21" s="376"/>
      <c r="B21" s="355"/>
      <c r="C21" s="355"/>
      <c r="D21" s="355" t="s">
        <v>140</v>
      </c>
      <c r="E21" s="355"/>
      <c r="F21" s="355"/>
      <c r="G21" s="355"/>
      <c r="H21" s="355"/>
      <c r="I21" s="355"/>
      <c r="J21" s="355"/>
      <c r="K21" s="355"/>
      <c r="L21" s="355"/>
      <c r="M21" s="355"/>
      <c r="N21" s="355"/>
      <c r="O21" s="355"/>
      <c r="P21" s="355"/>
      <c r="Q21" s="355"/>
      <c r="R21" s="355"/>
      <c r="S21" s="355"/>
      <c r="T21" s="355"/>
      <c r="U21" s="355"/>
      <c r="V21" s="355"/>
      <c r="W21" s="355"/>
      <c r="X21" s="355"/>
      <c r="Y21" s="355"/>
      <c r="Z21" s="355"/>
      <c r="AA21" s="355"/>
      <c r="AB21" s="355"/>
      <c r="AC21" s="355"/>
      <c r="AD21" s="355"/>
      <c r="AE21" s="355"/>
      <c r="AF21" s="355"/>
      <c r="AG21" s="355"/>
      <c r="AH21" s="355"/>
      <c r="AI21" s="355"/>
      <c r="AJ21" s="355"/>
      <c r="AK21" s="355"/>
      <c r="AL21" s="355"/>
      <c r="AM21" s="355"/>
      <c r="AN21" s="355"/>
      <c r="AO21" s="355"/>
      <c r="AP21" s="355"/>
      <c r="AQ21" s="355"/>
      <c r="AR21" s="355"/>
      <c r="AS21" s="355"/>
      <c r="AT21" s="355"/>
      <c r="AU21" s="355"/>
      <c r="AV21" s="355"/>
      <c r="AW21" s="355"/>
      <c r="AX21" s="355"/>
      <c r="AY21" s="355"/>
      <c r="AZ21" s="355"/>
      <c r="BA21" s="356"/>
      <c r="BB21" s="357"/>
      <c r="BC21" s="358"/>
      <c r="BD21" s="358"/>
      <c r="BE21" s="358"/>
      <c r="BF21" s="358"/>
      <c r="BG21" s="358"/>
      <c r="BH21" s="358"/>
      <c r="BI21" s="358"/>
      <c r="BJ21" s="358"/>
      <c r="BK21" s="358"/>
      <c r="BL21" s="358"/>
      <c r="BM21" s="358"/>
      <c r="BN21" s="358"/>
      <c r="BO21" s="358"/>
      <c r="BP21" s="358"/>
      <c r="BQ21" s="358"/>
      <c r="BR21" s="358"/>
      <c r="BS21" s="358"/>
      <c r="BT21" s="358"/>
      <c r="BU21" s="358"/>
      <c r="BV21" s="358"/>
      <c r="BW21" s="358"/>
      <c r="BX21" s="358"/>
      <c r="BY21" s="358"/>
      <c r="BZ21" s="358"/>
      <c r="CA21" s="359"/>
      <c r="CB21" s="357"/>
      <c r="CC21" s="358"/>
      <c r="CD21" s="358"/>
      <c r="CE21" s="358"/>
      <c r="CF21" s="358"/>
      <c r="CG21" s="358"/>
      <c r="CH21" s="358"/>
      <c r="CI21" s="358"/>
      <c r="CJ21" s="358"/>
      <c r="CK21" s="358"/>
      <c r="CL21" s="358"/>
      <c r="CM21" s="358"/>
      <c r="CN21" s="358"/>
      <c r="CO21" s="358"/>
      <c r="CP21" s="358"/>
      <c r="CQ21" s="358"/>
      <c r="CR21" s="358"/>
      <c r="CS21" s="358"/>
      <c r="CT21" s="358"/>
      <c r="CU21" s="358"/>
      <c r="CV21" s="358"/>
      <c r="CW21" s="358"/>
      <c r="CX21" s="358"/>
      <c r="CY21" s="358"/>
      <c r="CZ21" s="358"/>
      <c r="DA21" s="359"/>
    </row>
    <row r="22" spans="1:105" s="4" customFormat="1" x14ac:dyDescent="0.2">
      <c r="A22" s="377"/>
      <c r="B22" s="378"/>
      <c r="C22" s="378"/>
      <c r="D22" s="355" t="s">
        <v>139</v>
      </c>
      <c r="E22" s="355"/>
      <c r="F22" s="355"/>
      <c r="G22" s="355"/>
      <c r="H22" s="355"/>
      <c r="I22" s="355"/>
      <c r="J22" s="355"/>
      <c r="K22" s="355"/>
      <c r="L22" s="355"/>
      <c r="M22" s="355"/>
      <c r="N22" s="355"/>
      <c r="O22" s="355"/>
      <c r="P22" s="355"/>
      <c r="Q22" s="355"/>
      <c r="R22" s="355"/>
      <c r="S22" s="355"/>
      <c r="T22" s="355"/>
      <c r="U22" s="355"/>
      <c r="V22" s="355"/>
      <c r="W22" s="355"/>
      <c r="X22" s="355"/>
      <c r="Y22" s="355"/>
      <c r="Z22" s="355"/>
      <c r="AA22" s="355"/>
      <c r="AB22" s="355"/>
      <c r="AC22" s="355"/>
      <c r="AD22" s="355"/>
      <c r="AE22" s="355"/>
      <c r="AF22" s="355"/>
      <c r="AG22" s="355"/>
      <c r="AH22" s="355"/>
      <c r="AI22" s="355"/>
      <c r="AJ22" s="355"/>
      <c r="AK22" s="355"/>
      <c r="AL22" s="355"/>
      <c r="AM22" s="355"/>
      <c r="AN22" s="355"/>
      <c r="AO22" s="355"/>
      <c r="AP22" s="355"/>
      <c r="AQ22" s="355"/>
      <c r="AR22" s="355"/>
      <c r="AS22" s="355"/>
      <c r="AT22" s="355"/>
      <c r="AU22" s="355"/>
      <c r="AV22" s="355"/>
      <c r="AW22" s="355"/>
      <c r="AX22" s="355"/>
      <c r="AY22" s="355"/>
      <c r="AZ22" s="355"/>
      <c r="BA22" s="356"/>
      <c r="BB22" s="357"/>
      <c r="BC22" s="358"/>
      <c r="BD22" s="358"/>
      <c r="BE22" s="358"/>
      <c r="BF22" s="358"/>
      <c r="BG22" s="358"/>
      <c r="BH22" s="358"/>
      <c r="BI22" s="358"/>
      <c r="BJ22" s="358"/>
      <c r="BK22" s="358"/>
      <c r="BL22" s="358"/>
      <c r="BM22" s="358"/>
      <c r="BN22" s="358"/>
      <c r="BO22" s="358"/>
      <c r="BP22" s="358"/>
      <c r="BQ22" s="358"/>
      <c r="BR22" s="358"/>
      <c r="BS22" s="358"/>
      <c r="BT22" s="358"/>
      <c r="BU22" s="358"/>
      <c r="BV22" s="358"/>
      <c r="BW22" s="358"/>
      <c r="BX22" s="358"/>
      <c r="BY22" s="358"/>
      <c r="BZ22" s="358"/>
      <c r="CA22" s="359"/>
      <c r="CB22" s="357"/>
      <c r="CC22" s="358"/>
      <c r="CD22" s="358"/>
      <c r="CE22" s="358"/>
      <c r="CF22" s="358"/>
      <c r="CG22" s="358"/>
      <c r="CH22" s="358"/>
      <c r="CI22" s="358"/>
      <c r="CJ22" s="358"/>
      <c r="CK22" s="358"/>
      <c r="CL22" s="358"/>
      <c r="CM22" s="358"/>
      <c r="CN22" s="358"/>
      <c r="CO22" s="358"/>
      <c r="CP22" s="358"/>
      <c r="CQ22" s="358"/>
      <c r="CR22" s="358"/>
      <c r="CS22" s="358"/>
      <c r="CT22" s="358"/>
      <c r="CU22" s="358"/>
      <c r="CV22" s="358"/>
      <c r="CW22" s="358"/>
      <c r="CX22" s="358"/>
      <c r="CY22" s="358"/>
      <c r="CZ22" s="358"/>
      <c r="DA22" s="359"/>
    </row>
    <row r="23" spans="1:105" s="4" customFormat="1" x14ac:dyDescent="0.2">
      <c r="A23" s="7"/>
      <c r="B23" s="355" t="s">
        <v>138</v>
      </c>
      <c r="C23" s="355"/>
      <c r="D23" s="355"/>
      <c r="E23" s="355"/>
      <c r="F23" s="355"/>
      <c r="G23" s="355"/>
      <c r="H23" s="355"/>
      <c r="I23" s="355"/>
      <c r="J23" s="355"/>
      <c r="K23" s="355"/>
      <c r="L23" s="355"/>
      <c r="M23" s="355"/>
      <c r="N23" s="355"/>
      <c r="O23" s="355"/>
      <c r="P23" s="355"/>
      <c r="Q23" s="355"/>
      <c r="R23" s="355"/>
      <c r="S23" s="355"/>
      <c r="T23" s="355"/>
      <c r="U23" s="355"/>
      <c r="V23" s="355"/>
      <c r="W23" s="355"/>
      <c r="X23" s="355"/>
      <c r="Y23" s="355"/>
      <c r="Z23" s="355"/>
      <c r="AA23" s="355"/>
      <c r="AB23" s="355"/>
      <c r="AC23" s="355"/>
      <c r="AD23" s="355"/>
      <c r="AE23" s="355"/>
      <c r="AF23" s="355"/>
      <c r="AG23" s="355"/>
      <c r="AH23" s="355"/>
      <c r="AI23" s="355"/>
      <c r="AJ23" s="355"/>
      <c r="AK23" s="355"/>
      <c r="AL23" s="355"/>
      <c r="AM23" s="355"/>
      <c r="AN23" s="355"/>
      <c r="AO23" s="355"/>
      <c r="AP23" s="355"/>
      <c r="AQ23" s="355"/>
      <c r="AR23" s="355"/>
      <c r="AS23" s="355"/>
      <c r="AT23" s="355"/>
      <c r="AU23" s="355"/>
      <c r="AV23" s="355"/>
      <c r="AW23" s="355"/>
      <c r="AX23" s="355"/>
      <c r="AY23" s="355"/>
      <c r="AZ23" s="355"/>
      <c r="BA23" s="356"/>
      <c r="BB23" s="357">
        <f>BB19+18734.97612</f>
        <v>16504.976119999999</v>
      </c>
      <c r="BC23" s="358"/>
      <c r="BD23" s="358"/>
      <c r="BE23" s="358"/>
      <c r="BF23" s="358"/>
      <c r="BG23" s="358"/>
      <c r="BH23" s="358"/>
      <c r="BI23" s="358"/>
      <c r="BJ23" s="358"/>
      <c r="BK23" s="358"/>
      <c r="BL23" s="358"/>
      <c r="BM23" s="358"/>
      <c r="BN23" s="358"/>
      <c r="BO23" s="358"/>
      <c r="BP23" s="358"/>
      <c r="BQ23" s="358"/>
      <c r="BR23" s="358"/>
      <c r="BS23" s="358"/>
      <c r="BT23" s="358"/>
      <c r="BU23" s="358"/>
      <c r="BV23" s="358"/>
      <c r="BW23" s="358"/>
      <c r="BX23" s="358"/>
      <c r="BY23" s="358"/>
      <c r="BZ23" s="358"/>
      <c r="CA23" s="359"/>
      <c r="CB23" s="357">
        <f>-14166.2210964501+14786.12438</f>
        <v>619.90328354990015</v>
      </c>
      <c r="CC23" s="358"/>
      <c r="CD23" s="358"/>
      <c r="CE23" s="358"/>
      <c r="CF23" s="358"/>
      <c r="CG23" s="358"/>
      <c r="CH23" s="358"/>
      <c r="CI23" s="358"/>
      <c r="CJ23" s="358"/>
      <c r="CK23" s="358"/>
      <c r="CL23" s="358"/>
      <c r="CM23" s="358"/>
      <c r="CN23" s="358"/>
      <c r="CO23" s="358"/>
      <c r="CP23" s="358"/>
      <c r="CQ23" s="358"/>
      <c r="CR23" s="358"/>
      <c r="CS23" s="358"/>
      <c r="CT23" s="358"/>
      <c r="CU23" s="358"/>
      <c r="CV23" s="358"/>
      <c r="CW23" s="358"/>
      <c r="CX23" s="358"/>
      <c r="CY23" s="358"/>
      <c r="CZ23" s="358"/>
      <c r="DA23" s="359"/>
    </row>
    <row r="24" spans="1:105" s="4" customFormat="1" x14ac:dyDescent="0.2">
      <c r="A24" s="6"/>
      <c r="B24" s="355" t="s">
        <v>137</v>
      </c>
      <c r="C24" s="355"/>
      <c r="D24" s="355"/>
      <c r="E24" s="355"/>
      <c r="F24" s="355"/>
      <c r="G24" s="355"/>
      <c r="H24" s="355"/>
      <c r="I24" s="355"/>
      <c r="J24" s="355"/>
      <c r="K24" s="355"/>
      <c r="L24" s="355"/>
      <c r="M24" s="355"/>
      <c r="N24" s="355"/>
      <c r="O24" s="355"/>
      <c r="P24" s="355"/>
      <c r="Q24" s="355"/>
      <c r="R24" s="355"/>
      <c r="S24" s="355"/>
      <c r="T24" s="355"/>
      <c r="U24" s="355"/>
      <c r="V24" s="355"/>
      <c r="W24" s="355"/>
      <c r="X24" s="355"/>
      <c r="Y24" s="355"/>
      <c r="Z24" s="355"/>
      <c r="AA24" s="355"/>
      <c r="AB24" s="355"/>
      <c r="AC24" s="355"/>
      <c r="AD24" s="355"/>
      <c r="AE24" s="355"/>
      <c r="AF24" s="355"/>
      <c r="AG24" s="355"/>
      <c r="AH24" s="355"/>
      <c r="AI24" s="355"/>
      <c r="AJ24" s="355"/>
      <c r="AK24" s="355"/>
      <c r="AL24" s="355"/>
      <c r="AM24" s="355"/>
      <c r="AN24" s="355"/>
      <c r="AO24" s="355"/>
      <c r="AP24" s="355"/>
      <c r="AQ24" s="355"/>
      <c r="AR24" s="355"/>
      <c r="AS24" s="355"/>
      <c r="AT24" s="355"/>
      <c r="AU24" s="355"/>
      <c r="AV24" s="355"/>
      <c r="AW24" s="355"/>
      <c r="AX24" s="355"/>
      <c r="AY24" s="355"/>
      <c r="AZ24" s="355"/>
      <c r="BA24" s="356"/>
      <c r="BB24" s="357">
        <v>1586910</v>
      </c>
      <c r="BC24" s="358"/>
      <c r="BD24" s="358"/>
      <c r="BE24" s="358"/>
      <c r="BF24" s="358"/>
      <c r="BG24" s="358"/>
      <c r="BH24" s="358"/>
      <c r="BI24" s="358"/>
      <c r="BJ24" s="358"/>
      <c r="BK24" s="358"/>
      <c r="BL24" s="358"/>
      <c r="BM24" s="358"/>
      <c r="BN24" s="358"/>
      <c r="BO24" s="358"/>
      <c r="BP24" s="358"/>
      <c r="BQ24" s="358"/>
      <c r="BR24" s="358"/>
      <c r="BS24" s="358"/>
      <c r="BT24" s="358"/>
      <c r="BU24" s="358"/>
      <c r="BV24" s="358"/>
      <c r="BW24" s="358"/>
      <c r="BX24" s="358"/>
      <c r="BY24" s="358"/>
      <c r="BZ24" s="358"/>
      <c r="CA24" s="359"/>
      <c r="CB24" s="357">
        <v>2926151</v>
      </c>
      <c r="CC24" s="358"/>
      <c r="CD24" s="358"/>
      <c r="CE24" s="358"/>
      <c r="CF24" s="358"/>
      <c r="CG24" s="358"/>
      <c r="CH24" s="358"/>
      <c r="CI24" s="358"/>
      <c r="CJ24" s="358"/>
      <c r="CK24" s="358"/>
      <c r="CL24" s="358"/>
      <c r="CM24" s="358"/>
      <c r="CN24" s="358"/>
      <c r="CO24" s="358"/>
      <c r="CP24" s="358"/>
      <c r="CQ24" s="358"/>
      <c r="CR24" s="358"/>
      <c r="CS24" s="358"/>
      <c r="CT24" s="358"/>
      <c r="CU24" s="358"/>
      <c r="CV24" s="358"/>
      <c r="CW24" s="358"/>
      <c r="CX24" s="358"/>
      <c r="CY24" s="358"/>
      <c r="CZ24" s="358"/>
      <c r="DA24" s="359"/>
    </row>
    <row r="25" spans="1:105" s="4" customFormat="1" x14ac:dyDescent="0.2">
      <c r="A25" s="376"/>
      <c r="B25" s="355"/>
      <c r="C25" s="355"/>
      <c r="D25" s="355" t="s">
        <v>136</v>
      </c>
      <c r="E25" s="355"/>
      <c r="F25" s="355"/>
      <c r="G25" s="355"/>
      <c r="H25" s="355"/>
      <c r="I25" s="355"/>
      <c r="J25" s="355"/>
      <c r="K25" s="355"/>
      <c r="L25" s="355"/>
      <c r="M25" s="355"/>
      <c r="N25" s="355"/>
      <c r="O25" s="355"/>
      <c r="P25" s="355"/>
      <c r="Q25" s="355"/>
      <c r="R25" s="355"/>
      <c r="S25" s="355"/>
      <c r="T25" s="355"/>
      <c r="U25" s="355"/>
      <c r="V25" s="355"/>
      <c r="W25" s="355"/>
      <c r="X25" s="355"/>
      <c r="Y25" s="355"/>
      <c r="Z25" s="355"/>
      <c r="AA25" s="355"/>
      <c r="AB25" s="355"/>
      <c r="AC25" s="355"/>
      <c r="AD25" s="355"/>
      <c r="AE25" s="355"/>
      <c r="AF25" s="355"/>
      <c r="AG25" s="355"/>
      <c r="AH25" s="355"/>
      <c r="AI25" s="355"/>
      <c r="AJ25" s="355"/>
      <c r="AK25" s="355"/>
      <c r="AL25" s="355"/>
      <c r="AM25" s="355"/>
      <c r="AN25" s="355"/>
      <c r="AO25" s="355"/>
      <c r="AP25" s="355"/>
      <c r="AQ25" s="355"/>
      <c r="AR25" s="355"/>
      <c r="AS25" s="355"/>
      <c r="AT25" s="355"/>
      <c r="AU25" s="355"/>
      <c r="AV25" s="355"/>
      <c r="AW25" s="355"/>
      <c r="AX25" s="355"/>
      <c r="AY25" s="355"/>
      <c r="AZ25" s="355"/>
      <c r="BA25" s="356"/>
      <c r="BB25" s="357"/>
      <c r="BC25" s="358"/>
      <c r="BD25" s="358"/>
      <c r="BE25" s="358"/>
      <c r="BF25" s="358"/>
      <c r="BG25" s="358"/>
      <c r="BH25" s="358"/>
      <c r="BI25" s="358"/>
      <c r="BJ25" s="358"/>
      <c r="BK25" s="358"/>
      <c r="BL25" s="358"/>
      <c r="BM25" s="358"/>
      <c r="BN25" s="358"/>
      <c r="BO25" s="358"/>
      <c r="BP25" s="358"/>
      <c r="BQ25" s="358"/>
      <c r="BR25" s="358"/>
      <c r="BS25" s="358"/>
      <c r="BT25" s="358"/>
      <c r="BU25" s="358"/>
      <c r="BV25" s="358"/>
      <c r="BW25" s="358"/>
      <c r="BX25" s="358"/>
      <c r="BY25" s="358"/>
      <c r="BZ25" s="358"/>
      <c r="CA25" s="359"/>
      <c r="CB25" s="357">
        <v>1024522</v>
      </c>
      <c r="CC25" s="358"/>
      <c r="CD25" s="358"/>
      <c r="CE25" s="358"/>
      <c r="CF25" s="358"/>
      <c r="CG25" s="358"/>
      <c r="CH25" s="358"/>
      <c r="CI25" s="358"/>
      <c r="CJ25" s="358"/>
      <c r="CK25" s="358"/>
      <c r="CL25" s="358"/>
      <c r="CM25" s="358"/>
      <c r="CN25" s="358"/>
      <c r="CO25" s="358"/>
      <c r="CP25" s="358"/>
      <c r="CQ25" s="358"/>
      <c r="CR25" s="358"/>
      <c r="CS25" s="358"/>
      <c r="CT25" s="358"/>
      <c r="CU25" s="358"/>
      <c r="CV25" s="358"/>
      <c r="CW25" s="358"/>
      <c r="CX25" s="358"/>
      <c r="CY25" s="358"/>
      <c r="CZ25" s="358"/>
      <c r="DA25" s="359"/>
    </row>
    <row r="26" spans="1:105" s="4" customFormat="1" x14ac:dyDescent="0.2">
      <c r="A26" s="377"/>
      <c r="B26" s="378"/>
      <c r="C26" s="378"/>
      <c r="D26" s="355" t="s">
        <v>135</v>
      </c>
      <c r="E26" s="355"/>
      <c r="F26" s="355"/>
      <c r="G26" s="355"/>
      <c r="H26" s="355"/>
      <c r="I26" s="355"/>
      <c r="J26" s="355"/>
      <c r="K26" s="355"/>
      <c r="L26" s="355"/>
      <c r="M26" s="355"/>
      <c r="N26" s="355"/>
      <c r="O26" s="355"/>
      <c r="P26" s="355"/>
      <c r="Q26" s="355"/>
      <c r="R26" s="355"/>
      <c r="S26" s="355"/>
      <c r="T26" s="355"/>
      <c r="U26" s="355"/>
      <c r="V26" s="355"/>
      <c r="W26" s="355"/>
      <c r="X26" s="355"/>
      <c r="Y26" s="355"/>
      <c r="Z26" s="355"/>
      <c r="AA26" s="355"/>
      <c r="AB26" s="355"/>
      <c r="AC26" s="355"/>
      <c r="AD26" s="355"/>
      <c r="AE26" s="355"/>
      <c r="AF26" s="355"/>
      <c r="AG26" s="355"/>
      <c r="AH26" s="355"/>
      <c r="AI26" s="355"/>
      <c r="AJ26" s="355"/>
      <c r="AK26" s="355"/>
      <c r="AL26" s="355"/>
      <c r="AM26" s="355"/>
      <c r="AN26" s="355"/>
      <c r="AO26" s="355"/>
      <c r="AP26" s="355"/>
      <c r="AQ26" s="355"/>
      <c r="AR26" s="355"/>
      <c r="AS26" s="355"/>
      <c r="AT26" s="355"/>
      <c r="AU26" s="355"/>
      <c r="AV26" s="355"/>
      <c r="AW26" s="355"/>
      <c r="AX26" s="355"/>
      <c r="AY26" s="355"/>
      <c r="AZ26" s="355"/>
      <c r="BA26" s="356"/>
      <c r="BB26" s="357">
        <v>1844944</v>
      </c>
      <c r="BC26" s="358"/>
      <c r="BD26" s="358"/>
      <c r="BE26" s="358"/>
      <c r="BF26" s="358"/>
      <c r="BG26" s="358"/>
      <c r="BH26" s="358"/>
      <c r="BI26" s="358"/>
      <c r="BJ26" s="358"/>
      <c r="BK26" s="358"/>
      <c r="BL26" s="358"/>
      <c r="BM26" s="358"/>
      <c r="BN26" s="358"/>
      <c r="BO26" s="358"/>
      <c r="BP26" s="358"/>
      <c r="BQ26" s="358"/>
      <c r="BR26" s="358"/>
      <c r="BS26" s="358"/>
      <c r="BT26" s="358"/>
      <c r="BU26" s="358"/>
      <c r="BV26" s="358"/>
      <c r="BW26" s="358"/>
      <c r="BX26" s="358"/>
      <c r="BY26" s="358"/>
      <c r="BZ26" s="358"/>
      <c r="CA26" s="359"/>
      <c r="CB26" s="357">
        <v>1901629</v>
      </c>
      <c r="CC26" s="358"/>
      <c r="CD26" s="358"/>
      <c r="CE26" s="358"/>
      <c r="CF26" s="358"/>
      <c r="CG26" s="358"/>
      <c r="CH26" s="358"/>
      <c r="CI26" s="358"/>
      <c r="CJ26" s="358"/>
      <c r="CK26" s="358"/>
      <c r="CL26" s="358"/>
      <c r="CM26" s="358"/>
      <c r="CN26" s="358"/>
      <c r="CO26" s="358"/>
      <c r="CP26" s="358"/>
      <c r="CQ26" s="358"/>
      <c r="CR26" s="358"/>
      <c r="CS26" s="358"/>
      <c r="CT26" s="358"/>
      <c r="CU26" s="358"/>
      <c r="CV26" s="358"/>
      <c r="CW26" s="358"/>
      <c r="CX26" s="358"/>
      <c r="CY26" s="358"/>
      <c r="CZ26" s="358"/>
      <c r="DA26" s="359"/>
    </row>
    <row r="27" spans="1:105" s="4" customFormat="1" x14ac:dyDescent="0.2">
      <c r="A27" s="7"/>
      <c r="B27" s="355" t="s">
        <v>134</v>
      </c>
      <c r="C27" s="355"/>
      <c r="D27" s="355"/>
      <c r="E27" s="355"/>
      <c r="F27" s="355"/>
      <c r="G27" s="355"/>
      <c r="H27" s="355"/>
      <c r="I27" s="355"/>
      <c r="J27" s="355"/>
      <c r="K27" s="355"/>
      <c r="L27" s="355"/>
      <c r="M27" s="355"/>
      <c r="N27" s="355"/>
      <c r="O27" s="355"/>
      <c r="P27" s="355"/>
      <c r="Q27" s="355"/>
      <c r="R27" s="355"/>
      <c r="S27" s="355"/>
      <c r="T27" s="355"/>
      <c r="U27" s="355"/>
      <c r="V27" s="355"/>
      <c r="W27" s="355"/>
      <c r="X27" s="355"/>
      <c r="Y27" s="355"/>
      <c r="Z27" s="355"/>
      <c r="AA27" s="355"/>
      <c r="AB27" s="355"/>
      <c r="AC27" s="355"/>
      <c r="AD27" s="355"/>
      <c r="AE27" s="355"/>
      <c r="AF27" s="355"/>
      <c r="AG27" s="355"/>
      <c r="AH27" s="355"/>
      <c r="AI27" s="355"/>
      <c r="AJ27" s="355"/>
      <c r="AK27" s="355"/>
      <c r="AL27" s="355"/>
      <c r="AM27" s="355"/>
      <c r="AN27" s="355"/>
      <c r="AO27" s="355"/>
      <c r="AP27" s="355"/>
      <c r="AQ27" s="355"/>
      <c r="AR27" s="355"/>
      <c r="AS27" s="355"/>
      <c r="AT27" s="355"/>
      <c r="AU27" s="355"/>
      <c r="AV27" s="355"/>
      <c r="AW27" s="355"/>
      <c r="AX27" s="355"/>
      <c r="AY27" s="355"/>
      <c r="AZ27" s="355"/>
      <c r="BA27" s="356"/>
      <c r="BB27" s="357"/>
      <c r="BC27" s="358"/>
      <c r="BD27" s="358"/>
      <c r="BE27" s="358"/>
      <c r="BF27" s="358"/>
      <c r="BG27" s="358"/>
      <c r="BH27" s="358"/>
      <c r="BI27" s="358"/>
      <c r="BJ27" s="358"/>
      <c r="BK27" s="358"/>
      <c r="BL27" s="358"/>
      <c r="BM27" s="358"/>
      <c r="BN27" s="358"/>
      <c r="BO27" s="358"/>
      <c r="BP27" s="358"/>
      <c r="BQ27" s="358"/>
      <c r="BR27" s="358"/>
      <c r="BS27" s="358"/>
      <c r="BT27" s="358"/>
      <c r="BU27" s="358"/>
      <c r="BV27" s="358"/>
      <c r="BW27" s="358"/>
      <c r="BX27" s="358"/>
      <c r="BY27" s="358"/>
      <c r="BZ27" s="358"/>
      <c r="CA27" s="359"/>
      <c r="CB27" s="357"/>
      <c r="CC27" s="358"/>
      <c r="CD27" s="358"/>
      <c r="CE27" s="358"/>
      <c r="CF27" s="358"/>
      <c r="CG27" s="358"/>
      <c r="CH27" s="358"/>
      <c r="CI27" s="358"/>
      <c r="CJ27" s="358"/>
      <c r="CK27" s="358"/>
      <c r="CL27" s="358"/>
      <c r="CM27" s="358"/>
      <c r="CN27" s="358"/>
      <c r="CO27" s="358"/>
      <c r="CP27" s="358"/>
      <c r="CQ27" s="358"/>
      <c r="CR27" s="358"/>
      <c r="CS27" s="358"/>
      <c r="CT27" s="358"/>
      <c r="CU27" s="358"/>
      <c r="CV27" s="358"/>
      <c r="CW27" s="358"/>
      <c r="CX27" s="358"/>
      <c r="CY27" s="358"/>
      <c r="CZ27" s="358"/>
      <c r="DA27" s="359"/>
    </row>
    <row r="28" spans="1:105" s="4" customFormat="1" ht="12.95" customHeight="1" x14ac:dyDescent="0.2">
      <c r="A28" s="6"/>
      <c r="B28" s="366" t="s">
        <v>133</v>
      </c>
      <c r="C28" s="366"/>
      <c r="D28" s="366"/>
      <c r="E28" s="366"/>
      <c r="F28" s="366"/>
      <c r="G28" s="366"/>
      <c r="H28" s="366"/>
      <c r="I28" s="366"/>
      <c r="J28" s="366"/>
      <c r="K28" s="366"/>
      <c r="L28" s="366"/>
      <c r="M28" s="366"/>
      <c r="N28" s="366"/>
      <c r="O28" s="366"/>
      <c r="P28" s="366"/>
      <c r="Q28" s="366"/>
      <c r="R28" s="366"/>
      <c r="S28" s="366"/>
      <c r="T28" s="366"/>
      <c r="U28" s="366"/>
      <c r="V28" s="366"/>
      <c r="W28" s="366"/>
      <c r="X28" s="366"/>
      <c r="Y28" s="366"/>
      <c r="Z28" s="366"/>
      <c r="AA28" s="366"/>
      <c r="AB28" s="366"/>
      <c r="AC28" s="366"/>
      <c r="AD28" s="366"/>
      <c r="AE28" s="366"/>
      <c r="AF28" s="366"/>
      <c r="AG28" s="366"/>
      <c r="AH28" s="366"/>
      <c r="AI28" s="366"/>
      <c r="AJ28" s="366"/>
      <c r="AK28" s="366"/>
      <c r="AL28" s="366"/>
      <c r="AM28" s="366"/>
      <c r="AN28" s="366"/>
      <c r="AO28" s="366"/>
      <c r="AP28" s="366"/>
      <c r="AQ28" s="366"/>
      <c r="AR28" s="366"/>
      <c r="AS28" s="366"/>
      <c r="AT28" s="366"/>
      <c r="AU28" s="366"/>
      <c r="AV28" s="366"/>
      <c r="AW28" s="366"/>
      <c r="AX28" s="366"/>
      <c r="AY28" s="366"/>
      <c r="AZ28" s="366"/>
      <c r="BA28" s="367"/>
      <c r="BB28" s="357"/>
      <c r="BC28" s="358"/>
      <c r="BD28" s="358"/>
      <c r="BE28" s="358"/>
      <c r="BF28" s="358"/>
      <c r="BG28" s="358"/>
      <c r="BH28" s="358"/>
      <c r="BI28" s="358"/>
      <c r="BJ28" s="358"/>
      <c r="BK28" s="358"/>
      <c r="BL28" s="358"/>
      <c r="BM28" s="358"/>
      <c r="BN28" s="358"/>
      <c r="BO28" s="358"/>
      <c r="BP28" s="358"/>
      <c r="BQ28" s="358"/>
      <c r="BR28" s="358"/>
      <c r="BS28" s="358"/>
      <c r="BT28" s="358"/>
      <c r="BU28" s="358"/>
      <c r="BV28" s="358"/>
      <c r="BW28" s="358"/>
      <c r="BX28" s="358"/>
      <c r="BY28" s="358"/>
      <c r="BZ28" s="358"/>
      <c r="CA28" s="359"/>
      <c r="CB28" s="357"/>
      <c r="CC28" s="358"/>
      <c r="CD28" s="358"/>
      <c r="CE28" s="358"/>
      <c r="CF28" s="358"/>
      <c r="CG28" s="358"/>
      <c r="CH28" s="358"/>
      <c r="CI28" s="358"/>
      <c r="CJ28" s="358"/>
      <c r="CK28" s="358"/>
      <c r="CL28" s="358"/>
      <c r="CM28" s="358"/>
      <c r="CN28" s="358"/>
      <c r="CO28" s="358"/>
      <c r="CP28" s="358"/>
      <c r="CQ28" s="358"/>
      <c r="CR28" s="358"/>
      <c r="CS28" s="358"/>
      <c r="CT28" s="358"/>
      <c r="CU28" s="358"/>
      <c r="CV28" s="358"/>
      <c r="CW28" s="358"/>
      <c r="CX28" s="358"/>
      <c r="CY28" s="358"/>
      <c r="CZ28" s="358"/>
      <c r="DA28" s="359"/>
    </row>
    <row r="29" spans="1:105" s="4" customFormat="1" x14ac:dyDescent="0.2">
      <c r="A29" s="376"/>
      <c r="B29" s="355"/>
      <c r="C29" s="355"/>
      <c r="D29" s="355" t="s">
        <v>132</v>
      </c>
      <c r="E29" s="355"/>
      <c r="F29" s="355"/>
      <c r="G29" s="355"/>
      <c r="H29" s="355"/>
      <c r="I29" s="355"/>
      <c r="J29" s="355"/>
      <c r="K29" s="355"/>
      <c r="L29" s="355"/>
      <c r="M29" s="355"/>
      <c r="N29" s="355"/>
      <c r="O29" s="355"/>
      <c r="P29" s="355"/>
      <c r="Q29" s="355"/>
      <c r="R29" s="355"/>
      <c r="S29" s="355"/>
      <c r="T29" s="355"/>
      <c r="U29" s="355"/>
      <c r="V29" s="355"/>
      <c r="W29" s="355"/>
      <c r="X29" s="355"/>
      <c r="Y29" s="355"/>
      <c r="Z29" s="355"/>
      <c r="AA29" s="355"/>
      <c r="AB29" s="355"/>
      <c r="AC29" s="355"/>
      <c r="AD29" s="355"/>
      <c r="AE29" s="355"/>
      <c r="AF29" s="355"/>
      <c r="AG29" s="355"/>
      <c r="AH29" s="355"/>
      <c r="AI29" s="355"/>
      <c r="AJ29" s="355"/>
      <c r="AK29" s="355"/>
      <c r="AL29" s="355"/>
      <c r="AM29" s="355"/>
      <c r="AN29" s="355"/>
      <c r="AO29" s="355"/>
      <c r="AP29" s="355"/>
      <c r="AQ29" s="355"/>
      <c r="AR29" s="355"/>
      <c r="AS29" s="355"/>
      <c r="AT29" s="355"/>
      <c r="AU29" s="355"/>
      <c r="AV29" s="355"/>
      <c r="AW29" s="355"/>
      <c r="AX29" s="355"/>
      <c r="AY29" s="355"/>
      <c r="AZ29" s="355"/>
      <c r="BA29" s="356"/>
      <c r="BB29" s="357"/>
      <c r="BC29" s="358"/>
      <c r="BD29" s="358"/>
      <c r="BE29" s="358"/>
      <c r="BF29" s="358"/>
      <c r="BG29" s="358"/>
      <c r="BH29" s="358"/>
      <c r="BI29" s="358"/>
      <c r="BJ29" s="358"/>
      <c r="BK29" s="358"/>
      <c r="BL29" s="358"/>
      <c r="BM29" s="358"/>
      <c r="BN29" s="358"/>
      <c r="BO29" s="358"/>
      <c r="BP29" s="358"/>
      <c r="BQ29" s="358"/>
      <c r="BR29" s="358"/>
      <c r="BS29" s="358"/>
      <c r="BT29" s="358"/>
      <c r="BU29" s="358"/>
      <c r="BV29" s="358"/>
      <c r="BW29" s="358"/>
      <c r="BX29" s="358"/>
      <c r="BY29" s="358"/>
      <c r="BZ29" s="358"/>
      <c r="CA29" s="359"/>
      <c r="CB29" s="357"/>
      <c r="CC29" s="358"/>
      <c r="CD29" s="358"/>
      <c r="CE29" s="358"/>
      <c r="CF29" s="358"/>
      <c r="CG29" s="358"/>
      <c r="CH29" s="358"/>
      <c r="CI29" s="358"/>
      <c r="CJ29" s="358"/>
      <c r="CK29" s="358"/>
      <c r="CL29" s="358"/>
      <c r="CM29" s="358"/>
      <c r="CN29" s="358"/>
      <c r="CO29" s="358"/>
      <c r="CP29" s="358"/>
      <c r="CQ29" s="358"/>
      <c r="CR29" s="358"/>
      <c r="CS29" s="358"/>
      <c r="CT29" s="358"/>
      <c r="CU29" s="358"/>
      <c r="CV29" s="358"/>
      <c r="CW29" s="358"/>
      <c r="CX29" s="358"/>
      <c r="CY29" s="358"/>
      <c r="CZ29" s="358"/>
      <c r="DA29" s="359"/>
    </row>
    <row r="30" spans="1:105" s="4" customFormat="1" x14ac:dyDescent="0.2">
      <c r="A30" s="376"/>
      <c r="B30" s="355"/>
      <c r="C30" s="355"/>
      <c r="D30" s="355" t="s">
        <v>131</v>
      </c>
      <c r="E30" s="355"/>
      <c r="F30" s="355"/>
      <c r="G30" s="355"/>
      <c r="H30" s="355"/>
      <c r="I30" s="355"/>
      <c r="J30" s="355"/>
      <c r="K30" s="355"/>
      <c r="L30" s="355"/>
      <c r="M30" s="355"/>
      <c r="N30" s="355"/>
      <c r="O30" s="355"/>
      <c r="P30" s="355"/>
      <c r="Q30" s="355"/>
      <c r="R30" s="355"/>
      <c r="S30" s="355"/>
      <c r="T30" s="355"/>
      <c r="U30" s="355"/>
      <c r="V30" s="355"/>
      <c r="W30" s="355"/>
      <c r="X30" s="355"/>
      <c r="Y30" s="355"/>
      <c r="Z30" s="355"/>
      <c r="AA30" s="355"/>
      <c r="AB30" s="355"/>
      <c r="AC30" s="355"/>
      <c r="AD30" s="355"/>
      <c r="AE30" s="355"/>
      <c r="AF30" s="355"/>
      <c r="AG30" s="355"/>
      <c r="AH30" s="355"/>
      <c r="AI30" s="355"/>
      <c r="AJ30" s="355"/>
      <c r="AK30" s="355"/>
      <c r="AL30" s="355"/>
      <c r="AM30" s="355"/>
      <c r="AN30" s="355"/>
      <c r="AO30" s="355"/>
      <c r="AP30" s="355"/>
      <c r="AQ30" s="355"/>
      <c r="AR30" s="355"/>
      <c r="AS30" s="355"/>
      <c r="AT30" s="355"/>
      <c r="AU30" s="355"/>
      <c r="AV30" s="355"/>
      <c r="AW30" s="355"/>
      <c r="AX30" s="355"/>
      <c r="AY30" s="355"/>
      <c r="AZ30" s="355"/>
      <c r="BA30" s="356"/>
      <c r="BB30" s="357"/>
      <c r="BC30" s="358"/>
      <c r="BD30" s="358"/>
      <c r="BE30" s="358"/>
      <c r="BF30" s="358"/>
      <c r="BG30" s="358"/>
      <c r="BH30" s="358"/>
      <c r="BI30" s="358"/>
      <c r="BJ30" s="358"/>
      <c r="BK30" s="358"/>
      <c r="BL30" s="358"/>
      <c r="BM30" s="358"/>
      <c r="BN30" s="358"/>
      <c r="BO30" s="358"/>
      <c r="BP30" s="358"/>
      <c r="BQ30" s="358"/>
      <c r="BR30" s="358"/>
      <c r="BS30" s="358"/>
      <c r="BT30" s="358"/>
      <c r="BU30" s="358"/>
      <c r="BV30" s="358"/>
      <c r="BW30" s="358"/>
      <c r="BX30" s="358"/>
      <c r="BY30" s="358"/>
      <c r="BZ30" s="358"/>
      <c r="CA30" s="359"/>
      <c r="CB30" s="357"/>
      <c r="CC30" s="358"/>
      <c r="CD30" s="358"/>
      <c r="CE30" s="358"/>
      <c r="CF30" s="358"/>
      <c r="CG30" s="358"/>
      <c r="CH30" s="358"/>
      <c r="CI30" s="358"/>
      <c r="CJ30" s="358"/>
      <c r="CK30" s="358"/>
      <c r="CL30" s="358"/>
      <c r="CM30" s="358"/>
      <c r="CN30" s="358"/>
      <c r="CO30" s="358"/>
      <c r="CP30" s="358"/>
      <c r="CQ30" s="358"/>
      <c r="CR30" s="358"/>
      <c r="CS30" s="358"/>
      <c r="CT30" s="358"/>
      <c r="CU30" s="358"/>
      <c r="CV30" s="358"/>
      <c r="CW30" s="358"/>
      <c r="CX30" s="358"/>
      <c r="CY30" s="358"/>
      <c r="CZ30" s="358"/>
      <c r="DA30" s="359"/>
    </row>
    <row r="31" spans="1:105" s="4" customFormat="1" x14ac:dyDescent="0.2">
      <c r="A31" s="376"/>
      <c r="B31" s="355"/>
      <c r="C31" s="355"/>
      <c r="D31" s="355" t="s">
        <v>130</v>
      </c>
      <c r="E31" s="355"/>
      <c r="F31" s="355"/>
      <c r="G31" s="355"/>
      <c r="H31" s="355"/>
      <c r="I31" s="355"/>
      <c r="J31" s="355"/>
      <c r="K31" s="355"/>
      <c r="L31" s="355"/>
      <c r="M31" s="355"/>
      <c r="N31" s="355"/>
      <c r="O31" s="355"/>
      <c r="P31" s="355"/>
      <c r="Q31" s="355"/>
      <c r="R31" s="355"/>
      <c r="S31" s="355"/>
      <c r="T31" s="355"/>
      <c r="U31" s="355"/>
      <c r="V31" s="355"/>
      <c r="W31" s="355"/>
      <c r="X31" s="355"/>
      <c r="Y31" s="355"/>
      <c r="Z31" s="355"/>
      <c r="AA31" s="355"/>
      <c r="AB31" s="355"/>
      <c r="AC31" s="355"/>
      <c r="AD31" s="355"/>
      <c r="AE31" s="355"/>
      <c r="AF31" s="355"/>
      <c r="AG31" s="355"/>
      <c r="AH31" s="355"/>
      <c r="AI31" s="355"/>
      <c r="AJ31" s="355"/>
      <c r="AK31" s="355"/>
      <c r="AL31" s="355"/>
      <c r="AM31" s="355"/>
      <c r="AN31" s="355"/>
      <c r="AO31" s="355"/>
      <c r="AP31" s="355"/>
      <c r="AQ31" s="355"/>
      <c r="AR31" s="355"/>
      <c r="AS31" s="355"/>
      <c r="AT31" s="355"/>
      <c r="AU31" s="355"/>
      <c r="AV31" s="355"/>
      <c r="AW31" s="355"/>
      <c r="AX31" s="355"/>
      <c r="AY31" s="355"/>
      <c r="AZ31" s="355"/>
      <c r="BA31" s="356"/>
      <c r="BB31" s="357"/>
      <c r="BC31" s="358"/>
      <c r="BD31" s="358"/>
      <c r="BE31" s="358"/>
      <c r="BF31" s="358"/>
      <c r="BG31" s="358"/>
      <c r="BH31" s="358"/>
      <c r="BI31" s="358"/>
      <c r="BJ31" s="358"/>
      <c r="BK31" s="358"/>
      <c r="BL31" s="358"/>
      <c r="BM31" s="358"/>
      <c r="BN31" s="358"/>
      <c r="BO31" s="358"/>
      <c r="BP31" s="358"/>
      <c r="BQ31" s="358"/>
      <c r="BR31" s="358"/>
      <c r="BS31" s="358"/>
      <c r="BT31" s="358"/>
      <c r="BU31" s="358"/>
      <c r="BV31" s="358"/>
      <c r="BW31" s="358"/>
      <c r="BX31" s="358"/>
      <c r="BY31" s="358"/>
      <c r="BZ31" s="358"/>
      <c r="CA31" s="359"/>
      <c r="CB31" s="357"/>
      <c r="CC31" s="358"/>
      <c r="CD31" s="358"/>
      <c r="CE31" s="358"/>
      <c r="CF31" s="358"/>
      <c r="CG31" s="358"/>
      <c r="CH31" s="358"/>
      <c r="CI31" s="358"/>
      <c r="CJ31" s="358"/>
      <c r="CK31" s="358"/>
      <c r="CL31" s="358"/>
      <c r="CM31" s="358"/>
      <c r="CN31" s="358"/>
      <c r="CO31" s="358"/>
      <c r="CP31" s="358"/>
      <c r="CQ31" s="358"/>
      <c r="CR31" s="358"/>
      <c r="CS31" s="358"/>
      <c r="CT31" s="358"/>
      <c r="CU31" s="358"/>
      <c r="CV31" s="358"/>
      <c r="CW31" s="358"/>
      <c r="CX31" s="358"/>
      <c r="CY31" s="358"/>
      <c r="CZ31" s="358"/>
      <c r="DA31" s="359"/>
    </row>
    <row r="32" spans="1:105" s="4" customFormat="1" x14ac:dyDescent="0.2">
      <c r="A32" s="377"/>
      <c r="B32" s="378"/>
      <c r="C32" s="378"/>
      <c r="D32" s="355" t="s">
        <v>129</v>
      </c>
      <c r="E32" s="355"/>
      <c r="F32" s="355"/>
      <c r="G32" s="355"/>
      <c r="H32" s="355"/>
      <c r="I32" s="355"/>
      <c r="J32" s="355"/>
      <c r="K32" s="355"/>
      <c r="L32" s="355"/>
      <c r="M32" s="355"/>
      <c r="N32" s="355"/>
      <c r="O32" s="355"/>
      <c r="P32" s="355"/>
      <c r="Q32" s="355"/>
      <c r="R32" s="355"/>
      <c r="S32" s="355"/>
      <c r="T32" s="355"/>
      <c r="U32" s="355"/>
      <c r="V32" s="355"/>
      <c r="W32" s="355"/>
      <c r="X32" s="355"/>
      <c r="Y32" s="355"/>
      <c r="Z32" s="355"/>
      <c r="AA32" s="355"/>
      <c r="AB32" s="355"/>
      <c r="AC32" s="355"/>
      <c r="AD32" s="355"/>
      <c r="AE32" s="355"/>
      <c r="AF32" s="355"/>
      <c r="AG32" s="355"/>
      <c r="AH32" s="355"/>
      <c r="AI32" s="355"/>
      <c r="AJ32" s="355"/>
      <c r="AK32" s="355"/>
      <c r="AL32" s="355"/>
      <c r="AM32" s="355"/>
      <c r="AN32" s="355"/>
      <c r="AO32" s="355"/>
      <c r="AP32" s="355"/>
      <c r="AQ32" s="355"/>
      <c r="AR32" s="355"/>
      <c r="AS32" s="355"/>
      <c r="AT32" s="355"/>
      <c r="AU32" s="355"/>
      <c r="AV32" s="355"/>
      <c r="AW32" s="355"/>
      <c r="AX32" s="355"/>
      <c r="AY32" s="355"/>
      <c r="AZ32" s="355"/>
      <c r="BA32" s="356"/>
      <c r="BB32" s="357"/>
      <c r="BC32" s="358"/>
      <c r="BD32" s="358"/>
      <c r="BE32" s="358"/>
      <c r="BF32" s="358"/>
      <c r="BG32" s="358"/>
      <c r="BH32" s="358"/>
      <c r="BI32" s="358"/>
      <c r="BJ32" s="358"/>
      <c r="BK32" s="358"/>
      <c r="BL32" s="358"/>
      <c r="BM32" s="358"/>
      <c r="BN32" s="358"/>
      <c r="BO32" s="358"/>
      <c r="BP32" s="358"/>
      <c r="BQ32" s="358"/>
      <c r="BR32" s="358"/>
      <c r="BS32" s="358"/>
      <c r="BT32" s="358"/>
      <c r="BU32" s="358"/>
      <c r="BV32" s="358"/>
      <c r="BW32" s="358"/>
      <c r="BX32" s="358"/>
      <c r="BY32" s="358"/>
      <c r="BZ32" s="358"/>
      <c r="CA32" s="359"/>
      <c r="CB32" s="357"/>
      <c r="CC32" s="358"/>
      <c r="CD32" s="358"/>
      <c r="CE32" s="358"/>
      <c r="CF32" s="358"/>
      <c r="CG32" s="358"/>
      <c r="CH32" s="358"/>
      <c r="CI32" s="358"/>
      <c r="CJ32" s="358"/>
      <c r="CK32" s="358"/>
      <c r="CL32" s="358"/>
      <c r="CM32" s="358"/>
      <c r="CN32" s="358"/>
      <c r="CO32" s="358"/>
      <c r="CP32" s="358"/>
      <c r="CQ32" s="358"/>
      <c r="CR32" s="358"/>
      <c r="CS32" s="358"/>
      <c r="CT32" s="358"/>
      <c r="CU32" s="358"/>
      <c r="CV32" s="358"/>
      <c r="CW32" s="358"/>
      <c r="CX32" s="358"/>
      <c r="CY32" s="358"/>
      <c r="CZ32" s="358"/>
      <c r="DA32" s="359"/>
    </row>
    <row r="33" spans="1:105" s="4" customFormat="1" x14ac:dyDescent="0.2">
      <c r="A33" s="6"/>
      <c r="B33" s="355" t="s">
        <v>128</v>
      </c>
      <c r="C33" s="355"/>
      <c r="D33" s="355"/>
      <c r="E33" s="355"/>
      <c r="F33" s="355"/>
      <c r="G33" s="355"/>
      <c r="H33" s="355"/>
      <c r="I33" s="355"/>
      <c r="J33" s="355"/>
      <c r="K33" s="355"/>
      <c r="L33" s="355"/>
      <c r="M33" s="355"/>
      <c r="N33" s="355"/>
      <c r="O33" s="355"/>
      <c r="P33" s="355"/>
      <c r="Q33" s="355"/>
      <c r="R33" s="355"/>
      <c r="S33" s="355"/>
      <c r="T33" s="355"/>
      <c r="U33" s="355"/>
      <c r="V33" s="355"/>
      <c r="W33" s="355"/>
      <c r="X33" s="355"/>
      <c r="Y33" s="355"/>
      <c r="Z33" s="355"/>
      <c r="AA33" s="355"/>
      <c r="AB33" s="355"/>
      <c r="AC33" s="355"/>
      <c r="AD33" s="355"/>
      <c r="AE33" s="355"/>
      <c r="AF33" s="355"/>
      <c r="AG33" s="355"/>
      <c r="AH33" s="355"/>
      <c r="AI33" s="355"/>
      <c r="AJ33" s="355"/>
      <c r="AK33" s="355"/>
      <c r="AL33" s="355"/>
      <c r="AM33" s="355"/>
      <c r="AN33" s="355"/>
      <c r="AO33" s="355"/>
      <c r="AP33" s="355"/>
      <c r="AQ33" s="355"/>
      <c r="AR33" s="355"/>
      <c r="AS33" s="355"/>
      <c r="AT33" s="355"/>
      <c r="AU33" s="355"/>
      <c r="AV33" s="355"/>
      <c r="AW33" s="355"/>
      <c r="AX33" s="355"/>
      <c r="AY33" s="355"/>
      <c r="AZ33" s="355"/>
      <c r="BA33" s="356"/>
      <c r="BB33" s="357">
        <v>3902269</v>
      </c>
      <c r="BC33" s="358"/>
      <c r="BD33" s="358"/>
      <c r="BE33" s="358"/>
      <c r="BF33" s="358"/>
      <c r="BG33" s="358"/>
      <c r="BH33" s="358"/>
      <c r="BI33" s="358"/>
      <c r="BJ33" s="358"/>
      <c r="BK33" s="358"/>
      <c r="BL33" s="358"/>
      <c r="BM33" s="358"/>
      <c r="BN33" s="358"/>
      <c r="BO33" s="358"/>
      <c r="BP33" s="358"/>
      <c r="BQ33" s="358"/>
      <c r="BR33" s="358"/>
      <c r="BS33" s="358"/>
      <c r="BT33" s="358"/>
      <c r="BU33" s="358"/>
      <c r="BV33" s="358"/>
      <c r="BW33" s="358"/>
      <c r="BX33" s="358"/>
      <c r="BY33" s="358"/>
      <c r="BZ33" s="358"/>
      <c r="CA33" s="359"/>
      <c r="CB33" s="357">
        <v>3902937</v>
      </c>
      <c r="CC33" s="358"/>
      <c r="CD33" s="358"/>
      <c r="CE33" s="358"/>
      <c r="CF33" s="358"/>
      <c r="CG33" s="358"/>
      <c r="CH33" s="358"/>
      <c r="CI33" s="358"/>
      <c r="CJ33" s="358"/>
      <c r="CK33" s="358"/>
      <c r="CL33" s="358"/>
      <c r="CM33" s="358"/>
      <c r="CN33" s="358"/>
      <c r="CO33" s="358"/>
      <c r="CP33" s="358"/>
      <c r="CQ33" s="358"/>
      <c r="CR33" s="358"/>
      <c r="CS33" s="358"/>
      <c r="CT33" s="358"/>
      <c r="CU33" s="358"/>
      <c r="CV33" s="358"/>
      <c r="CW33" s="358"/>
      <c r="CX33" s="358"/>
      <c r="CY33" s="358"/>
      <c r="CZ33" s="358"/>
      <c r="DA33" s="359"/>
    </row>
    <row r="34" spans="1:105" s="4" customFormat="1" x14ac:dyDescent="0.2">
      <c r="A34" s="376"/>
      <c r="B34" s="355"/>
      <c r="C34" s="355"/>
      <c r="D34" s="355" t="s">
        <v>127</v>
      </c>
      <c r="E34" s="355"/>
      <c r="F34" s="355"/>
      <c r="G34" s="355"/>
      <c r="H34" s="355"/>
      <c r="I34" s="355"/>
      <c r="J34" s="355"/>
      <c r="K34" s="355"/>
      <c r="L34" s="355"/>
      <c r="M34" s="355"/>
      <c r="N34" s="355"/>
      <c r="O34" s="355"/>
      <c r="P34" s="355"/>
      <c r="Q34" s="355"/>
      <c r="R34" s="355"/>
      <c r="S34" s="355"/>
      <c r="T34" s="355"/>
      <c r="U34" s="355"/>
      <c r="V34" s="355"/>
      <c r="W34" s="355"/>
      <c r="X34" s="355"/>
      <c r="Y34" s="355"/>
      <c r="Z34" s="355"/>
      <c r="AA34" s="355"/>
      <c r="AB34" s="355"/>
      <c r="AC34" s="355"/>
      <c r="AD34" s="355"/>
      <c r="AE34" s="355"/>
      <c r="AF34" s="355"/>
      <c r="AG34" s="355"/>
      <c r="AH34" s="355"/>
      <c r="AI34" s="355"/>
      <c r="AJ34" s="355"/>
      <c r="AK34" s="355"/>
      <c r="AL34" s="355"/>
      <c r="AM34" s="355"/>
      <c r="AN34" s="355"/>
      <c r="AO34" s="355"/>
      <c r="AP34" s="355"/>
      <c r="AQ34" s="355"/>
      <c r="AR34" s="355"/>
      <c r="AS34" s="355"/>
      <c r="AT34" s="355"/>
      <c r="AU34" s="355"/>
      <c r="AV34" s="355"/>
      <c r="AW34" s="355"/>
      <c r="AX34" s="355"/>
      <c r="AY34" s="355"/>
      <c r="AZ34" s="355"/>
      <c r="BA34" s="356"/>
      <c r="BB34" s="357"/>
      <c r="BC34" s="358"/>
      <c r="BD34" s="358"/>
      <c r="BE34" s="358"/>
      <c r="BF34" s="358"/>
      <c r="BG34" s="358"/>
      <c r="BH34" s="358"/>
      <c r="BI34" s="358"/>
      <c r="BJ34" s="358"/>
      <c r="BK34" s="358"/>
      <c r="BL34" s="358"/>
      <c r="BM34" s="358"/>
      <c r="BN34" s="358"/>
      <c r="BO34" s="358"/>
      <c r="BP34" s="358"/>
      <c r="BQ34" s="358"/>
      <c r="BR34" s="358"/>
      <c r="BS34" s="358"/>
      <c r="BT34" s="358"/>
      <c r="BU34" s="358"/>
      <c r="BV34" s="358"/>
      <c r="BW34" s="358"/>
      <c r="BX34" s="358"/>
      <c r="BY34" s="358"/>
      <c r="BZ34" s="358"/>
      <c r="CA34" s="359"/>
      <c r="CB34" s="357"/>
      <c r="CC34" s="358"/>
      <c r="CD34" s="358"/>
      <c r="CE34" s="358"/>
      <c r="CF34" s="358"/>
      <c r="CG34" s="358"/>
      <c r="CH34" s="358"/>
      <c r="CI34" s="358"/>
      <c r="CJ34" s="358"/>
      <c r="CK34" s="358"/>
      <c r="CL34" s="358"/>
      <c r="CM34" s="358"/>
      <c r="CN34" s="358"/>
      <c r="CO34" s="358"/>
      <c r="CP34" s="358"/>
      <c r="CQ34" s="358"/>
      <c r="CR34" s="358"/>
      <c r="CS34" s="358"/>
      <c r="CT34" s="358"/>
      <c r="CU34" s="358"/>
      <c r="CV34" s="358"/>
      <c r="CW34" s="358"/>
      <c r="CX34" s="358"/>
      <c r="CY34" s="358"/>
      <c r="CZ34" s="358"/>
      <c r="DA34" s="359"/>
    </row>
    <row r="35" spans="1:105" s="4" customFormat="1" x14ac:dyDescent="0.2">
      <c r="A35" s="377"/>
      <c r="B35" s="378"/>
      <c r="C35" s="378"/>
      <c r="D35" s="355" t="s">
        <v>126</v>
      </c>
      <c r="E35" s="355"/>
      <c r="F35" s="355"/>
      <c r="G35" s="355"/>
      <c r="H35" s="355"/>
      <c r="I35" s="355"/>
      <c r="J35" s="355"/>
      <c r="K35" s="355"/>
      <c r="L35" s="355"/>
      <c r="M35" s="355"/>
      <c r="N35" s="355"/>
      <c r="O35" s="355"/>
      <c r="P35" s="355"/>
      <c r="Q35" s="355"/>
      <c r="R35" s="355"/>
      <c r="S35" s="355"/>
      <c r="T35" s="355"/>
      <c r="U35" s="355"/>
      <c r="V35" s="355"/>
      <c r="W35" s="355"/>
      <c r="X35" s="355"/>
      <c r="Y35" s="355"/>
      <c r="Z35" s="355"/>
      <c r="AA35" s="355"/>
      <c r="AB35" s="355"/>
      <c r="AC35" s="355"/>
      <c r="AD35" s="355"/>
      <c r="AE35" s="355"/>
      <c r="AF35" s="355"/>
      <c r="AG35" s="355"/>
      <c r="AH35" s="355"/>
      <c r="AI35" s="355"/>
      <c r="AJ35" s="355"/>
      <c r="AK35" s="355"/>
      <c r="AL35" s="355"/>
      <c r="AM35" s="355"/>
      <c r="AN35" s="355"/>
      <c r="AO35" s="355"/>
      <c r="AP35" s="355"/>
      <c r="AQ35" s="355"/>
      <c r="AR35" s="355"/>
      <c r="AS35" s="355"/>
      <c r="AT35" s="355"/>
      <c r="AU35" s="355"/>
      <c r="AV35" s="355"/>
      <c r="AW35" s="355"/>
      <c r="AX35" s="355"/>
      <c r="AY35" s="355"/>
      <c r="AZ35" s="355"/>
      <c r="BA35" s="356"/>
      <c r="BB35" s="357">
        <v>3828166</v>
      </c>
      <c r="BC35" s="358"/>
      <c r="BD35" s="358"/>
      <c r="BE35" s="358"/>
      <c r="BF35" s="358"/>
      <c r="BG35" s="358"/>
      <c r="BH35" s="358"/>
      <c r="BI35" s="358"/>
      <c r="BJ35" s="358"/>
      <c r="BK35" s="358"/>
      <c r="BL35" s="358"/>
      <c r="BM35" s="358"/>
      <c r="BN35" s="358"/>
      <c r="BO35" s="358"/>
      <c r="BP35" s="358"/>
      <c r="BQ35" s="358"/>
      <c r="BR35" s="358"/>
      <c r="BS35" s="358"/>
      <c r="BT35" s="358"/>
      <c r="BU35" s="358"/>
      <c r="BV35" s="358"/>
      <c r="BW35" s="358"/>
      <c r="BX35" s="358"/>
      <c r="BY35" s="358"/>
      <c r="BZ35" s="358"/>
      <c r="CA35" s="359"/>
      <c r="CB35" s="357">
        <v>3816261</v>
      </c>
      <c r="CC35" s="358"/>
      <c r="CD35" s="358"/>
      <c r="CE35" s="358"/>
      <c r="CF35" s="358"/>
      <c r="CG35" s="358"/>
      <c r="CH35" s="358"/>
      <c r="CI35" s="358"/>
      <c r="CJ35" s="358"/>
      <c r="CK35" s="358"/>
      <c r="CL35" s="358"/>
      <c r="CM35" s="358"/>
      <c r="CN35" s="358"/>
      <c r="CO35" s="358"/>
      <c r="CP35" s="358"/>
      <c r="CQ35" s="358"/>
      <c r="CR35" s="358"/>
      <c r="CS35" s="358"/>
      <c r="CT35" s="358"/>
      <c r="CU35" s="358"/>
      <c r="CV35" s="358"/>
      <c r="CW35" s="358"/>
      <c r="CX35" s="358"/>
      <c r="CY35" s="358"/>
      <c r="CZ35" s="358"/>
      <c r="DA35" s="359"/>
    </row>
    <row r="36" spans="1:105" s="8" customFormat="1" x14ac:dyDescent="0.2">
      <c r="A36" s="368"/>
      <c r="B36" s="369"/>
      <c r="C36" s="369"/>
      <c r="D36" s="369"/>
      <c r="E36" s="369"/>
      <c r="F36" s="369" t="s">
        <v>125</v>
      </c>
      <c r="G36" s="369"/>
      <c r="H36" s="369"/>
      <c r="I36" s="369"/>
      <c r="J36" s="369"/>
      <c r="K36" s="369"/>
      <c r="L36" s="369"/>
      <c r="M36" s="369"/>
      <c r="N36" s="369"/>
      <c r="O36" s="369"/>
      <c r="P36" s="369"/>
      <c r="Q36" s="369"/>
      <c r="R36" s="369"/>
      <c r="S36" s="369"/>
      <c r="T36" s="369"/>
      <c r="U36" s="369"/>
      <c r="V36" s="369"/>
      <c r="W36" s="369"/>
      <c r="X36" s="369"/>
      <c r="Y36" s="369"/>
      <c r="Z36" s="369"/>
      <c r="AA36" s="369"/>
      <c r="AB36" s="369"/>
      <c r="AC36" s="369"/>
      <c r="AD36" s="369"/>
      <c r="AE36" s="369"/>
      <c r="AF36" s="369"/>
      <c r="AG36" s="369"/>
      <c r="AH36" s="369"/>
      <c r="AI36" s="369"/>
      <c r="AJ36" s="369"/>
      <c r="AK36" s="369"/>
      <c r="AL36" s="369"/>
      <c r="AM36" s="369"/>
      <c r="AN36" s="369"/>
      <c r="AO36" s="369"/>
      <c r="AP36" s="369"/>
      <c r="AQ36" s="369"/>
      <c r="AR36" s="369"/>
      <c r="AS36" s="369"/>
      <c r="AT36" s="369"/>
      <c r="AU36" s="369"/>
      <c r="AV36" s="369"/>
      <c r="AW36" s="369"/>
      <c r="AX36" s="369"/>
      <c r="AY36" s="369"/>
      <c r="AZ36" s="369"/>
      <c r="BA36" s="370"/>
      <c r="BB36" s="371"/>
      <c r="BC36" s="372"/>
      <c r="BD36" s="372"/>
      <c r="BE36" s="372"/>
      <c r="BF36" s="372"/>
      <c r="BG36" s="372"/>
      <c r="BH36" s="372"/>
      <c r="BI36" s="372"/>
      <c r="BJ36" s="372"/>
      <c r="BK36" s="372"/>
      <c r="BL36" s="372"/>
      <c r="BM36" s="372"/>
      <c r="BN36" s="372"/>
      <c r="BO36" s="372"/>
      <c r="BP36" s="372"/>
      <c r="BQ36" s="372"/>
      <c r="BR36" s="372"/>
      <c r="BS36" s="372"/>
      <c r="BT36" s="372"/>
      <c r="BU36" s="372"/>
      <c r="BV36" s="372"/>
      <c r="BW36" s="372"/>
      <c r="BX36" s="372"/>
      <c r="BY36" s="372"/>
      <c r="BZ36" s="372"/>
      <c r="CA36" s="373"/>
      <c r="CB36" s="371"/>
      <c r="CC36" s="372"/>
      <c r="CD36" s="372"/>
      <c r="CE36" s="372"/>
      <c r="CF36" s="372"/>
      <c r="CG36" s="372"/>
      <c r="CH36" s="372"/>
      <c r="CI36" s="372"/>
      <c r="CJ36" s="372"/>
      <c r="CK36" s="372"/>
      <c r="CL36" s="372"/>
      <c r="CM36" s="372"/>
      <c r="CN36" s="372"/>
      <c r="CO36" s="372"/>
      <c r="CP36" s="372"/>
      <c r="CQ36" s="372"/>
      <c r="CR36" s="372"/>
      <c r="CS36" s="372"/>
      <c r="CT36" s="372"/>
      <c r="CU36" s="372"/>
      <c r="CV36" s="372"/>
      <c r="CW36" s="372"/>
      <c r="CX36" s="372"/>
      <c r="CY36" s="372"/>
      <c r="CZ36" s="372"/>
      <c r="DA36" s="373"/>
    </row>
    <row r="37" spans="1:105" s="8" customFormat="1" x14ac:dyDescent="0.2">
      <c r="A37" s="368"/>
      <c r="B37" s="369"/>
      <c r="C37" s="369"/>
      <c r="D37" s="369"/>
      <c r="E37" s="369"/>
      <c r="F37" s="369" t="s">
        <v>124</v>
      </c>
      <c r="G37" s="369"/>
      <c r="H37" s="369"/>
      <c r="I37" s="369"/>
      <c r="J37" s="369"/>
      <c r="K37" s="369"/>
      <c r="L37" s="369"/>
      <c r="M37" s="369"/>
      <c r="N37" s="369"/>
      <c r="O37" s="369"/>
      <c r="P37" s="369"/>
      <c r="Q37" s="369"/>
      <c r="R37" s="369"/>
      <c r="S37" s="369"/>
      <c r="T37" s="369"/>
      <c r="U37" s="369"/>
      <c r="V37" s="369"/>
      <c r="W37" s="369"/>
      <c r="X37" s="369"/>
      <c r="Y37" s="369"/>
      <c r="Z37" s="369"/>
      <c r="AA37" s="369"/>
      <c r="AB37" s="369"/>
      <c r="AC37" s="369"/>
      <c r="AD37" s="369"/>
      <c r="AE37" s="369"/>
      <c r="AF37" s="369"/>
      <c r="AG37" s="369"/>
      <c r="AH37" s="369"/>
      <c r="AI37" s="369"/>
      <c r="AJ37" s="369"/>
      <c r="AK37" s="369"/>
      <c r="AL37" s="369"/>
      <c r="AM37" s="369"/>
      <c r="AN37" s="369"/>
      <c r="AO37" s="369"/>
      <c r="AP37" s="369"/>
      <c r="AQ37" s="369"/>
      <c r="AR37" s="369"/>
      <c r="AS37" s="369"/>
      <c r="AT37" s="369"/>
      <c r="AU37" s="369"/>
      <c r="AV37" s="369"/>
      <c r="AW37" s="369"/>
      <c r="AX37" s="369"/>
      <c r="AY37" s="369"/>
      <c r="AZ37" s="369"/>
      <c r="BA37" s="370"/>
      <c r="BB37" s="371"/>
      <c r="BC37" s="372"/>
      <c r="BD37" s="372"/>
      <c r="BE37" s="372"/>
      <c r="BF37" s="372"/>
      <c r="BG37" s="372"/>
      <c r="BH37" s="372"/>
      <c r="BI37" s="372"/>
      <c r="BJ37" s="372"/>
      <c r="BK37" s="372"/>
      <c r="BL37" s="372"/>
      <c r="BM37" s="372"/>
      <c r="BN37" s="372"/>
      <c r="BO37" s="372"/>
      <c r="BP37" s="372"/>
      <c r="BQ37" s="372"/>
      <c r="BR37" s="372"/>
      <c r="BS37" s="372"/>
      <c r="BT37" s="372"/>
      <c r="BU37" s="372"/>
      <c r="BV37" s="372"/>
      <c r="BW37" s="372"/>
      <c r="BX37" s="372"/>
      <c r="BY37" s="372"/>
      <c r="BZ37" s="372"/>
      <c r="CA37" s="373"/>
      <c r="CB37" s="371"/>
      <c r="CC37" s="372"/>
      <c r="CD37" s="372"/>
      <c r="CE37" s="372"/>
      <c r="CF37" s="372"/>
      <c r="CG37" s="372"/>
      <c r="CH37" s="372"/>
      <c r="CI37" s="372"/>
      <c r="CJ37" s="372"/>
      <c r="CK37" s="372"/>
      <c r="CL37" s="372"/>
      <c r="CM37" s="372"/>
      <c r="CN37" s="372"/>
      <c r="CO37" s="372"/>
      <c r="CP37" s="372"/>
      <c r="CQ37" s="372"/>
      <c r="CR37" s="372"/>
      <c r="CS37" s="372"/>
      <c r="CT37" s="372"/>
      <c r="CU37" s="372"/>
      <c r="CV37" s="372"/>
      <c r="CW37" s="372"/>
      <c r="CX37" s="372"/>
      <c r="CY37" s="372"/>
      <c r="CZ37" s="372"/>
      <c r="DA37" s="373"/>
    </row>
    <row r="38" spans="1:105" s="8" customFormat="1" x14ac:dyDescent="0.2">
      <c r="A38" s="379"/>
      <c r="B38" s="380"/>
      <c r="C38" s="380"/>
      <c r="D38" s="380"/>
      <c r="E38" s="380"/>
      <c r="F38" s="369" t="s">
        <v>123</v>
      </c>
      <c r="G38" s="369"/>
      <c r="H38" s="369"/>
      <c r="I38" s="369"/>
      <c r="J38" s="369"/>
      <c r="K38" s="369"/>
      <c r="L38" s="369"/>
      <c r="M38" s="369"/>
      <c r="N38" s="369"/>
      <c r="O38" s="369"/>
      <c r="P38" s="369"/>
      <c r="Q38" s="369"/>
      <c r="R38" s="369"/>
      <c r="S38" s="369"/>
      <c r="T38" s="369"/>
      <c r="U38" s="369"/>
      <c r="V38" s="369"/>
      <c r="W38" s="369"/>
      <c r="X38" s="369"/>
      <c r="Y38" s="369"/>
      <c r="Z38" s="369"/>
      <c r="AA38" s="369"/>
      <c r="AB38" s="369"/>
      <c r="AC38" s="369"/>
      <c r="AD38" s="369"/>
      <c r="AE38" s="369"/>
      <c r="AF38" s="369"/>
      <c r="AG38" s="369"/>
      <c r="AH38" s="369"/>
      <c r="AI38" s="369"/>
      <c r="AJ38" s="369"/>
      <c r="AK38" s="369"/>
      <c r="AL38" s="369"/>
      <c r="AM38" s="369"/>
      <c r="AN38" s="369"/>
      <c r="AO38" s="369"/>
      <c r="AP38" s="369"/>
      <c r="AQ38" s="369"/>
      <c r="AR38" s="369"/>
      <c r="AS38" s="369"/>
      <c r="AT38" s="369"/>
      <c r="AU38" s="369"/>
      <c r="AV38" s="369"/>
      <c r="AW38" s="369"/>
      <c r="AX38" s="369"/>
      <c r="AY38" s="369"/>
      <c r="AZ38" s="369"/>
      <c r="BA38" s="370"/>
      <c r="BB38" s="371"/>
      <c r="BC38" s="372"/>
      <c r="BD38" s="372"/>
      <c r="BE38" s="372"/>
      <c r="BF38" s="372"/>
      <c r="BG38" s="372"/>
      <c r="BH38" s="372"/>
      <c r="BI38" s="372"/>
      <c r="BJ38" s="372"/>
      <c r="BK38" s="372"/>
      <c r="BL38" s="372"/>
      <c r="BM38" s="372"/>
      <c r="BN38" s="372"/>
      <c r="BO38" s="372"/>
      <c r="BP38" s="372"/>
      <c r="BQ38" s="372"/>
      <c r="BR38" s="372"/>
      <c r="BS38" s="372"/>
      <c r="BT38" s="372"/>
      <c r="BU38" s="372"/>
      <c r="BV38" s="372"/>
      <c r="BW38" s="372"/>
      <c r="BX38" s="372"/>
      <c r="BY38" s="372"/>
      <c r="BZ38" s="372"/>
      <c r="CA38" s="373"/>
      <c r="CB38" s="371"/>
      <c r="CC38" s="372"/>
      <c r="CD38" s="372"/>
      <c r="CE38" s="372"/>
      <c r="CF38" s="372"/>
      <c r="CG38" s="372"/>
      <c r="CH38" s="372"/>
      <c r="CI38" s="372"/>
      <c r="CJ38" s="372"/>
      <c r="CK38" s="372"/>
      <c r="CL38" s="372"/>
      <c r="CM38" s="372"/>
      <c r="CN38" s="372"/>
      <c r="CO38" s="372"/>
      <c r="CP38" s="372"/>
      <c r="CQ38" s="372"/>
      <c r="CR38" s="372"/>
      <c r="CS38" s="372"/>
      <c r="CT38" s="372"/>
      <c r="CU38" s="372"/>
      <c r="CV38" s="372"/>
      <c r="CW38" s="372"/>
      <c r="CX38" s="372"/>
      <c r="CY38" s="372"/>
      <c r="CZ38" s="372"/>
      <c r="DA38" s="373"/>
    </row>
    <row r="39" spans="1:105" s="4" customFormat="1" x14ac:dyDescent="0.2">
      <c r="A39" s="6"/>
      <c r="B39" s="355" t="s">
        <v>122</v>
      </c>
      <c r="C39" s="355"/>
      <c r="D39" s="355"/>
      <c r="E39" s="355"/>
      <c r="F39" s="355"/>
      <c r="G39" s="355"/>
      <c r="H39" s="355"/>
      <c r="I39" s="355"/>
      <c r="J39" s="355"/>
      <c r="K39" s="355"/>
      <c r="L39" s="355"/>
      <c r="M39" s="355"/>
      <c r="N39" s="355"/>
      <c r="O39" s="355"/>
      <c r="P39" s="355"/>
      <c r="Q39" s="355"/>
      <c r="R39" s="355"/>
      <c r="S39" s="355"/>
      <c r="T39" s="355"/>
      <c r="U39" s="355"/>
      <c r="V39" s="355"/>
      <c r="W39" s="355"/>
      <c r="X39" s="355"/>
      <c r="Y39" s="355"/>
      <c r="Z39" s="355"/>
      <c r="AA39" s="355"/>
      <c r="AB39" s="355"/>
      <c r="AC39" s="355"/>
      <c r="AD39" s="355"/>
      <c r="AE39" s="355"/>
      <c r="AF39" s="355"/>
      <c r="AG39" s="355"/>
      <c r="AH39" s="355"/>
      <c r="AI39" s="355"/>
      <c r="AJ39" s="355"/>
      <c r="AK39" s="355"/>
      <c r="AL39" s="355"/>
      <c r="AM39" s="355"/>
      <c r="AN39" s="355"/>
      <c r="AO39" s="355"/>
      <c r="AP39" s="355"/>
      <c r="AQ39" s="355"/>
      <c r="AR39" s="355"/>
      <c r="AS39" s="355"/>
      <c r="AT39" s="355"/>
      <c r="AU39" s="355"/>
      <c r="AV39" s="355"/>
      <c r="AW39" s="355"/>
      <c r="AX39" s="355"/>
      <c r="AY39" s="355"/>
      <c r="AZ39" s="355"/>
      <c r="BA39" s="356"/>
      <c r="BB39" s="357"/>
      <c r="BC39" s="358"/>
      <c r="BD39" s="358"/>
      <c r="BE39" s="358"/>
      <c r="BF39" s="358"/>
      <c r="BG39" s="358"/>
      <c r="BH39" s="358"/>
      <c r="BI39" s="358"/>
      <c r="BJ39" s="358"/>
      <c r="BK39" s="358"/>
      <c r="BL39" s="358"/>
      <c r="BM39" s="358"/>
      <c r="BN39" s="358"/>
      <c r="BO39" s="358"/>
      <c r="BP39" s="358"/>
      <c r="BQ39" s="358"/>
      <c r="BR39" s="358"/>
      <c r="BS39" s="358"/>
      <c r="BT39" s="358"/>
      <c r="BU39" s="358"/>
      <c r="BV39" s="358"/>
      <c r="BW39" s="358"/>
      <c r="BX39" s="358"/>
      <c r="BY39" s="358"/>
      <c r="BZ39" s="358"/>
      <c r="CA39" s="359"/>
      <c r="CB39" s="357"/>
      <c r="CC39" s="358"/>
      <c r="CD39" s="358"/>
      <c r="CE39" s="358"/>
      <c r="CF39" s="358"/>
      <c r="CG39" s="358"/>
      <c r="CH39" s="358"/>
      <c r="CI39" s="358"/>
      <c r="CJ39" s="358"/>
      <c r="CK39" s="358"/>
      <c r="CL39" s="358"/>
      <c r="CM39" s="358"/>
      <c r="CN39" s="358"/>
      <c r="CO39" s="358"/>
      <c r="CP39" s="358"/>
      <c r="CQ39" s="358"/>
      <c r="CR39" s="358"/>
      <c r="CS39" s="358"/>
      <c r="CT39" s="358"/>
      <c r="CU39" s="358"/>
      <c r="CV39" s="358"/>
      <c r="CW39" s="358"/>
      <c r="CX39" s="358"/>
      <c r="CY39" s="358"/>
      <c r="CZ39" s="358"/>
      <c r="DA39" s="359"/>
    </row>
    <row r="40" spans="1:105" ht="13.5" x14ac:dyDescent="0.2">
      <c r="A40" s="360" t="s">
        <v>121</v>
      </c>
      <c r="B40" s="361"/>
      <c r="C40" s="361"/>
      <c r="D40" s="361"/>
      <c r="E40" s="361"/>
      <c r="F40" s="361"/>
      <c r="G40" s="361"/>
      <c r="H40" s="361"/>
      <c r="I40" s="361"/>
      <c r="J40" s="361"/>
      <c r="K40" s="361"/>
      <c r="L40" s="361"/>
      <c r="M40" s="361"/>
      <c r="N40" s="361"/>
      <c r="O40" s="361"/>
      <c r="P40" s="361"/>
      <c r="Q40" s="361"/>
      <c r="R40" s="361"/>
      <c r="S40" s="361"/>
      <c r="T40" s="361"/>
      <c r="U40" s="361"/>
      <c r="V40" s="361"/>
      <c r="W40" s="361"/>
      <c r="X40" s="361"/>
      <c r="Y40" s="361"/>
      <c r="Z40" s="361"/>
      <c r="AA40" s="361"/>
      <c r="AB40" s="361"/>
      <c r="AC40" s="361"/>
      <c r="AD40" s="361"/>
      <c r="AE40" s="361"/>
      <c r="AF40" s="361"/>
      <c r="AG40" s="361"/>
      <c r="AH40" s="361"/>
      <c r="AI40" s="361"/>
      <c r="AJ40" s="361"/>
      <c r="AK40" s="361"/>
      <c r="AL40" s="361"/>
      <c r="AM40" s="361"/>
      <c r="AN40" s="361"/>
      <c r="AO40" s="361"/>
      <c r="AP40" s="361"/>
      <c r="AQ40" s="361"/>
      <c r="AR40" s="361"/>
      <c r="AS40" s="361"/>
      <c r="AT40" s="361"/>
      <c r="AU40" s="361"/>
      <c r="AV40" s="361"/>
      <c r="AW40" s="361"/>
      <c r="AX40" s="361"/>
      <c r="AY40" s="361"/>
      <c r="AZ40" s="361"/>
      <c r="BA40" s="361"/>
      <c r="BB40" s="361"/>
      <c r="BC40" s="361"/>
      <c r="BD40" s="361"/>
      <c r="BE40" s="361"/>
      <c r="BF40" s="361"/>
      <c r="BG40" s="361"/>
      <c r="BH40" s="361"/>
      <c r="BI40" s="361"/>
      <c r="BJ40" s="361"/>
      <c r="BK40" s="361"/>
      <c r="BL40" s="361"/>
      <c r="BM40" s="361"/>
      <c r="BN40" s="361"/>
      <c r="BO40" s="361"/>
      <c r="BP40" s="361"/>
      <c r="BQ40" s="361"/>
      <c r="BR40" s="361"/>
      <c r="BS40" s="361"/>
      <c r="BT40" s="361"/>
      <c r="BU40" s="361"/>
      <c r="BV40" s="361"/>
      <c r="BW40" s="361"/>
      <c r="BX40" s="361"/>
      <c r="BY40" s="361"/>
      <c r="BZ40" s="361"/>
      <c r="CA40" s="361"/>
      <c r="CB40" s="361"/>
      <c r="CC40" s="361"/>
      <c r="CD40" s="361"/>
      <c r="CE40" s="361"/>
      <c r="CF40" s="361"/>
      <c r="CG40" s="361"/>
      <c r="CH40" s="361"/>
      <c r="CI40" s="361"/>
      <c r="CJ40" s="361"/>
      <c r="CK40" s="361"/>
      <c r="CL40" s="361"/>
      <c r="CM40" s="361"/>
      <c r="CN40" s="361"/>
      <c r="CO40" s="361"/>
      <c r="CP40" s="361"/>
      <c r="CQ40" s="361"/>
      <c r="CR40" s="361"/>
      <c r="CS40" s="361"/>
      <c r="CT40" s="361"/>
      <c r="CU40" s="361"/>
      <c r="CV40" s="361"/>
      <c r="CW40" s="361"/>
      <c r="CX40" s="361"/>
      <c r="CY40" s="361"/>
      <c r="CZ40" s="361"/>
      <c r="DA40" s="362"/>
    </row>
    <row r="41" spans="1:105" s="4" customFormat="1" ht="12.95" customHeight="1" x14ac:dyDescent="0.2">
      <c r="A41" s="7"/>
      <c r="B41" s="366" t="s">
        <v>120</v>
      </c>
      <c r="C41" s="366"/>
      <c r="D41" s="366"/>
      <c r="E41" s="366"/>
      <c r="F41" s="366"/>
      <c r="G41" s="366"/>
      <c r="H41" s="366"/>
      <c r="I41" s="366"/>
      <c r="J41" s="366"/>
      <c r="K41" s="366"/>
      <c r="L41" s="366"/>
      <c r="M41" s="366"/>
      <c r="N41" s="366"/>
      <c r="O41" s="366"/>
      <c r="P41" s="366"/>
      <c r="Q41" s="366"/>
      <c r="R41" s="366"/>
      <c r="S41" s="366"/>
      <c r="T41" s="366"/>
      <c r="U41" s="366"/>
      <c r="V41" s="366"/>
      <c r="W41" s="366"/>
      <c r="X41" s="366"/>
      <c r="Y41" s="366"/>
      <c r="Z41" s="366"/>
      <c r="AA41" s="366"/>
      <c r="AB41" s="366"/>
      <c r="AC41" s="366"/>
      <c r="AD41" s="366"/>
      <c r="AE41" s="366"/>
      <c r="AF41" s="366"/>
      <c r="AG41" s="366"/>
      <c r="AH41" s="366"/>
      <c r="AI41" s="366"/>
      <c r="AJ41" s="366"/>
      <c r="AK41" s="366"/>
      <c r="AL41" s="366"/>
      <c r="AM41" s="366"/>
      <c r="AN41" s="366"/>
      <c r="AO41" s="366"/>
      <c r="AP41" s="366"/>
      <c r="AQ41" s="366"/>
      <c r="AR41" s="366"/>
      <c r="AS41" s="366"/>
      <c r="AT41" s="366"/>
      <c r="AU41" s="366"/>
      <c r="AV41" s="366"/>
      <c r="AW41" s="366"/>
      <c r="AX41" s="366"/>
      <c r="AY41" s="366"/>
      <c r="AZ41" s="366"/>
      <c r="BA41" s="367"/>
      <c r="BB41" s="357">
        <v>1006</v>
      </c>
      <c r="BC41" s="358"/>
      <c r="BD41" s="358"/>
      <c r="BE41" s="358"/>
      <c r="BF41" s="358"/>
      <c r="BG41" s="358"/>
      <c r="BH41" s="358"/>
      <c r="BI41" s="358"/>
      <c r="BJ41" s="358"/>
      <c r="BK41" s="358"/>
      <c r="BL41" s="358"/>
      <c r="BM41" s="358"/>
      <c r="BN41" s="358"/>
      <c r="BO41" s="358"/>
      <c r="BP41" s="358"/>
      <c r="BQ41" s="358"/>
      <c r="BR41" s="358"/>
      <c r="BS41" s="358"/>
      <c r="BT41" s="358"/>
      <c r="BU41" s="358"/>
      <c r="BV41" s="358"/>
      <c r="BW41" s="358"/>
      <c r="BX41" s="358"/>
      <c r="BY41" s="358"/>
      <c r="BZ41" s="358"/>
      <c r="CA41" s="359"/>
      <c r="CB41" s="357"/>
      <c r="CC41" s="358"/>
      <c r="CD41" s="358"/>
      <c r="CE41" s="358"/>
      <c r="CF41" s="358"/>
      <c r="CG41" s="358"/>
      <c r="CH41" s="358"/>
      <c r="CI41" s="358"/>
      <c r="CJ41" s="358"/>
      <c r="CK41" s="358"/>
      <c r="CL41" s="358"/>
      <c r="CM41" s="358"/>
      <c r="CN41" s="358"/>
      <c r="CO41" s="358"/>
      <c r="CP41" s="358"/>
      <c r="CQ41" s="358"/>
      <c r="CR41" s="358"/>
      <c r="CS41" s="358"/>
      <c r="CT41" s="358"/>
      <c r="CU41" s="358"/>
      <c r="CV41" s="358"/>
      <c r="CW41" s="358"/>
      <c r="CX41" s="358"/>
      <c r="CY41" s="358"/>
      <c r="CZ41" s="358"/>
      <c r="DA41" s="359"/>
    </row>
    <row r="42" spans="1:105" s="4" customFormat="1" x14ac:dyDescent="0.2">
      <c r="A42" s="7"/>
      <c r="B42" s="355" t="s">
        <v>119</v>
      </c>
      <c r="C42" s="355"/>
      <c r="D42" s="355"/>
      <c r="E42" s="355"/>
      <c r="F42" s="355"/>
      <c r="G42" s="355"/>
      <c r="H42" s="355"/>
      <c r="I42" s="355"/>
      <c r="J42" s="355"/>
      <c r="K42" s="355"/>
      <c r="L42" s="355"/>
      <c r="M42" s="355"/>
      <c r="N42" s="355"/>
      <c r="O42" s="355"/>
      <c r="P42" s="355"/>
      <c r="Q42" s="355"/>
      <c r="R42" s="355"/>
      <c r="S42" s="355"/>
      <c r="T42" s="355"/>
      <c r="U42" s="355"/>
      <c r="V42" s="355"/>
      <c r="W42" s="355"/>
      <c r="X42" s="355"/>
      <c r="Y42" s="355"/>
      <c r="Z42" s="355"/>
      <c r="AA42" s="355"/>
      <c r="AB42" s="355"/>
      <c r="AC42" s="355"/>
      <c r="AD42" s="355"/>
      <c r="AE42" s="355"/>
      <c r="AF42" s="355"/>
      <c r="AG42" s="355"/>
      <c r="AH42" s="355"/>
      <c r="AI42" s="355"/>
      <c r="AJ42" s="355"/>
      <c r="AK42" s="355"/>
      <c r="AL42" s="355"/>
      <c r="AM42" s="355"/>
      <c r="AN42" s="355"/>
      <c r="AO42" s="355"/>
      <c r="AP42" s="355"/>
      <c r="AQ42" s="355"/>
      <c r="AR42" s="355"/>
      <c r="AS42" s="355"/>
      <c r="AT42" s="355"/>
      <c r="AU42" s="355"/>
      <c r="AV42" s="355"/>
      <c r="AW42" s="355"/>
      <c r="AX42" s="355"/>
      <c r="AY42" s="355"/>
      <c r="AZ42" s="355"/>
      <c r="BA42" s="356"/>
      <c r="BB42" s="357">
        <v>20</v>
      </c>
      <c r="BC42" s="358"/>
      <c r="BD42" s="358"/>
      <c r="BE42" s="358"/>
      <c r="BF42" s="358"/>
      <c r="BG42" s="358"/>
      <c r="BH42" s="358"/>
      <c r="BI42" s="358"/>
      <c r="BJ42" s="358"/>
      <c r="BK42" s="358"/>
      <c r="BL42" s="358"/>
      <c r="BM42" s="358"/>
      <c r="BN42" s="358"/>
      <c r="BO42" s="358"/>
      <c r="BP42" s="358"/>
      <c r="BQ42" s="358"/>
      <c r="BR42" s="358"/>
      <c r="BS42" s="358"/>
      <c r="BT42" s="358"/>
      <c r="BU42" s="358"/>
      <c r="BV42" s="358"/>
      <c r="BW42" s="358"/>
      <c r="BX42" s="358"/>
      <c r="BY42" s="358"/>
      <c r="BZ42" s="358"/>
      <c r="CA42" s="359"/>
      <c r="CB42" s="357"/>
      <c r="CC42" s="358"/>
      <c r="CD42" s="358"/>
      <c r="CE42" s="358"/>
      <c r="CF42" s="358"/>
      <c r="CG42" s="358"/>
      <c r="CH42" s="358"/>
      <c r="CI42" s="358"/>
      <c r="CJ42" s="358"/>
      <c r="CK42" s="358"/>
      <c r="CL42" s="358"/>
      <c r="CM42" s="358"/>
      <c r="CN42" s="358"/>
      <c r="CO42" s="358"/>
      <c r="CP42" s="358"/>
      <c r="CQ42" s="358"/>
      <c r="CR42" s="358"/>
      <c r="CS42" s="358"/>
      <c r="CT42" s="358"/>
      <c r="CU42" s="358"/>
      <c r="CV42" s="358"/>
      <c r="CW42" s="358"/>
      <c r="CX42" s="358"/>
      <c r="CY42" s="358"/>
      <c r="CZ42" s="358"/>
      <c r="DA42" s="359"/>
    </row>
    <row r="43" spans="1:105" s="4" customFormat="1" x14ac:dyDescent="0.2">
      <c r="A43" s="7"/>
      <c r="B43" s="355" t="s">
        <v>118</v>
      </c>
      <c r="C43" s="355"/>
      <c r="D43" s="355"/>
      <c r="E43" s="355"/>
      <c r="F43" s="355"/>
      <c r="G43" s="355"/>
      <c r="H43" s="355"/>
      <c r="I43" s="355"/>
      <c r="J43" s="355"/>
      <c r="K43" s="355"/>
      <c r="L43" s="355"/>
      <c r="M43" s="355"/>
      <c r="N43" s="355"/>
      <c r="O43" s="355"/>
      <c r="P43" s="355"/>
      <c r="Q43" s="355"/>
      <c r="R43" s="355"/>
      <c r="S43" s="355"/>
      <c r="T43" s="355"/>
      <c r="U43" s="355"/>
      <c r="V43" s="355"/>
      <c r="W43" s="355"/>
      <c r="X43" s="355"/>
      <c r="Y43" s="355"/>
      <c r="Z43" s="355"/>
      <c r="AA43" s="355"/>
      <c r="AB43" s="355"/>
      <c r="AC43" s="355"/>
      <c r="AD43" s="355"/>
      <c r="AE43" s="355"/>
      <c r="AF43" s="355"/>
      <c r="AG43" s="355"/>
      <c r="AH43" s="355"/>
      <c r="AI43" s="355"/>
      <c r="AJ43" s="355"/>
      <c r="AK43" s="355"/>
      <c r="AL43" s="355"/>
      <c r="AM43" s="355"/>
      <c r="AN43" s="355"/>
      <c r="AO43" s="355"/>
      <c r="AP43" s="355"/>
      <c r="AQ43" s="355"/>
      <c r="AR43" s="355"/>
      <c r="AS43" s="355"/>
      <c r="AT43" s="355"/>
      <c r="AU43" s="355"/>
      <c r="AV43" s="355"/>
      <c r="AW43" s="355"/>
      <c r="AX43" s="355"/>
      <c r="AY43" s="355"/>
      <c r="AZ43" s="355"/>
      <c r="BA43" s="356"/>
      <c r="BB43" s="357">
        <f>BB41</f>
        <v>1006</v>
      </c>
      <c r="BC43" s="358"/>
      <c r="BD43" s="358"/>
      <c r="BE43" s="358"/>
      <c r="BF43" s="358"/>
      <c r="BG43" s="358"/>
      <c r="BH43" s="358"/>
      <c r="BI43" s="358"/>
      <c r="BJ43" s="358"/>
      <c r="BK43" s="358"/>
      <c r="BL43" s="358"/>
      <c r="BM43" s="358"/>
      <c r="BN43" s="358"/>
      <c r="BO43" s="358"/>
      <c r="BP43" s="358"/>
      <c r="BQ43" s="358"/>
      <c r="BR43" s="358"/>
      <c r="BS43" s="358"/>
      <c r="BT43" s="358"/>
      <c r="BU43" s="358"/>
      <c r="BV43" s="358"/>
      <c r="BW43" s="358"/>
      <c r="BX43" s="358"/>
      <c r="BY43" s="358"/>
      <c r="BZ43" s="358"/>
      <c r="CA43" s="359"/>
      <c r="CB43" s="357"/>
      <c r="CC43" s="358"/>
      <c r="CD43" s="358"/>
      <c r="CE43" s="358"/>
      <c r="CF43" s="358"/>
      <c r="CG43" s="358"/>
      <c r="CH43" s="358"/>
      <c r="CI43" s="358"/>
      <c r="CJ43" s="358"/>
      <c r="CK43" s="358"/>
      <c r="CL43" s="358"/>
      <c r="CM43" s="358"/>
      <c r="CN43" s="358"/>
      <c r="CO43" s="358"/>
      <c r="CP43" s="358"/>
      <c r="CQ43" s="358"/>
      <c r="CR43" s="358"/>
      <c r="CS43" s="358"/>
      <c r="CT43" s="358"/>
      <c r="CU43" s="358"/>
      <c r="CV43" s="358"/>
      <c r="CW43" s="358"/>
      <c r="CX43" s="358"/>
      <c r="CY43" s="358"/>
      <c r="CZ43" s="358"/>
      <c r="DA43" s="359"/>
    </row>
    <row r="44" spans="1:105" s="4" customFormat="1" x14ac:dyDescent="0.2">
      <c r="A44" s="6"/>
      <c r="B44" s="355" t="s">
        <v>117</v>
      </c>
      <c r="C44" s="355"/>
      <c r="D44" s="355"/>
      <c r="E44" s="355"/>
      <c r="F44" s="355"/>
      <c r="G44" s="355"/>
      <c r="H44" s="355"/>
      <c r="I44" s="355"/>
      <c r="J44" s="355"/>
      <c r="K44" s="355"/>
      <c r="L44" s="355"/>
      <c r="M44" s="355"/>
      <c r="N44" s="355"/>
      <c r="O44" s="355"/>
      <c r="P44" s="355"/>
      <c r="Q44" s="355"/>
      <c r="R44" s="355"/>
      <c r="S44" s="355"/>
      <c r="T44" s="355"/>
      <c r="U44" s="355"/>
      <c r="V44" s="355"/>
      <c r="W44" s="355"/>
      <c r="X44" s="355"/>
      <c r="Y44" s="355"/>
      <c r="Z44" s="355"/>
      <c r="AA44" s="355"/>
      <c r="AB44" s="355"/>
      <c r="AC44" s="355"/>
      <c r="AD44" s="355"/>
      <c r="AE44" s="355"/>
      <c r="AF44" s="355"/>
      <c r="AG44" s="355"/>
      <c r="AH44" s="355"/>
      <c r="AI44" s="355"/>
      <c r="AJ44" s="355"/>
      <c r="AK44" s="355"/>
      <c r="AL44" s="355"/>
      <c r="AM44" s="355"/>
      <c r="AN44" s="355"/>
      <c r="AO44" s="355"/>
      <c r="AP44" s="355"/>
      <c r="AQ44" s="355"/>
      <c r="AR44" s="355"/>
      <c r="AS44" s="355"/>
      <c r="AT44" s="355"/>
      <c r="AU44" s="355"/>
      <c r="AV44" s="355"/>
      <c r="AW44" s="355"/>
      <c r="AX44" s="355"/>
      <c r="AY44" s="355"/>
      <c r="AZ44" s="355"/>
      <c r="BA44" s="356"/>
      <c r="BB44" s="357">
        <v>0</v>
      </c>
      <c r="BC44" s="358"/>
      <c r="BD44" s="358"/>
      <c r="BE44" s="358"/>
      <c r="BF44" s="358"/>
      <c r="BG44" s="358"/>
      <c r="BH44" s="358"/>
      <c r="BI44" s="358"/>
      <c r="BJ44" s="358"/>
      <c r="BK44" s="358"/>
      <c r="BL44" s="358"/>
      <c r="BM44" s="358"/>
      <c r="BN44" s="358"/>
      <c r="BO44" s="358"/>
      <c r="BP44" s="358"/>
      <c r="BQ44" s="358"/>
      <c r="BR44" s="358"/>
      <c r="BS44" s="358"/>
      <c r="BT44" s="358"/>
      <c r="BU44" s="358"/>
      <c r="BV44" s="358"/>
      <c r="BW44" s="358"/>
      <c r="BX44" s="358"/>
      <c r="BY44" s="358"/>
      <c r="BZ44" s="358"/>
      <c r="CA44" s="359"/>
      <c r="CB44" s="357"/>
      <c r="CC44" s="358"/>
      <c r="CD44" s="358"/>
      <c r="CE44" s="358"/>
      <c r="CF44" s="358"/>
      <c r="CG44" s="358"/>
      <c r="CH44" s="358"/>
      <c r="CI44" s="358"/>
      <c r="CJ44" s="358"/>
      <c r="CK44" s="358"/>
      <c r="CL44" s="358"/>
      <c r="CM44" s="358"/>
      <c r="CN44" s="358"/>
      <c r="CO44" s="358"/>
      <c r="CP44" s="358"/>
      <c r="CQ44" s="358"/>
      <c r="CR44" s="358"/>
      <c r="CS44" s="358"/>
      <c r="CT44" s="358"/>
      <c r="CU44" s="358"/>
      <c r="CV44" s="358"/>
      <c r="CW44" s="358"/>
      <c r="CX44" s="358"/>
      <c r="CY44" s="358"/>
      <c r="CZ44" s="358"/>
      <c r="DA44" s="359"/>
    </row>
    <row r="45" spans="1:105" ht="13.5" x14ac:dyDescent="0.2">
      <c r="A45" s="360" t="s">
        <v>116</v>
      </c>
      <c r="B45" s="361"/>
      <c r="C45" s="361"/>
      <c r="D45" s="361"/>
      <c r="E45" s="361"/>
      <c r="F45" s="361"/>
      <c r="G45" s="361"/>
      <c r="H45" s="361"/>
      <c r="I45" s="361"/>
      <c r="J45" s="361"/>
      <c r="K45" s="361"/>
      <c r="L45" s="361"/>
      <c r="M45" s="361"/>
      <c r="N45" s="361"/>
      <c r="O45" s="361"/>
      <c r="P45" s="361"/>
      <c r="Q45" s="361"/>
      <c r="R45" s="361"/>
      <c r="S45" s="361"/>
      <c r="T45" s="361"/>
      <c r="U45" s="361"/>
      <c r="V45" s="361"/>
      <c r="W45" s="361"/>
      <c r="X45" s="361"/>
      <c r="Y45" s="361"/>
      <c r="Z45" s="361"/>
      <c r="AA45" s="361"/>
      <c r="AB45" s="361"/>
      <c r="AC45" s="361"/>
      <c r="AD45" s="361"/>
      <c r="AE45" s="361"/>
      <c r="AF45" s="361"/>
      <c r="AG45" s="361"/>
      <c r="AH45" s="361"/>
      <c r="AI45" s="361"/>
      <c r="AJ45" s="361"/>
      <c r="AK45" s="361"/>
      <c r="AL45" s="361"/>
      <c r="AM45" s="361"/>
      <c r="AN45" s="361"/>
      <c r="AO45" s="361"/>
      <c r="AP45" s="361"/>
      <c r="AQ45" s="361"/>
      <c r="AR45" s="361"/>
      <c r="AS45" s="361"/>
      <c r="AT45" s="361"/>
      <c r="AU45" s="361"/>
      <c r="AV45" s="361"/>
      <c r="AW45" s="361"/>
      <c r="AX45" s="361"/>
      <c r="AY45" s="361"/>
      <c r="AZ45" s="361"/>
      <c r="BA45" s="361"/>
      <c r="BB45" s="361"/>
      <c r="BC45" s="361"/>
      <c r="BD45" s="361"/>
      <c r="BE45" s="361"/>
      <c r="BF45" s="361"/>
      <c r="BG45" s="361"/>
      <c r="BH45" s="361"/>
      <c r="BI45" s="361"/>
      <c r="BJ45" s="361"/>
      <c r="BK45" s="361"/>
      <c r="BL45" s="361"/>
      <c r="BM45" s="361"/>
      <c r="BN45" s="361"/>
      <c r="BO45" s="361"/>
      <c r="BP45" s="361"/>
      <c r="BQ45" s="361"/>
      <c r="BR45" s="361"/>
      <c r="BS45" s="361"/>
      <c r="BT45" s="361"/>
      <c r="BU45" s="361"/>
      <c r="BV45" s="361"/>
      <c r="BW45" s="361"/>
      <c r="BX45" s="361"/>
      <c r="BY45" s="361"/>
      <c r="BZ45" s="361"/>
      <c r="CA45" s="361"/>
      <c r="CB45" s="361"/>
      <c r="CC45" s="361"/>
      <c r="CD45" s="361"/>
      <c r="CE45" s="361"/>
      <c r="CF45" s="361"/>
      <c r="CG45" s="361"/>
      <c r="CH45" s="361"/>
      <c r="CI45" s="361"/>
      <c r="CJ45" s="361"/>
      <c r="CK45" s="361"/>
      <c r="CL45" s="361"/>
      <c r="CM45" s="361"/>
      <c r="CN45" s="361"/>
      <c r="CO45" s="361"/>
      <c r="CP45" s="361"/>
      <c r="CQ45" s="361"/>
      <c r="CR45" s="361"/>
      <c r="CS45" s="361"/>
      <c r="CT45" s="361"/>
      <c r="CU45" s="361"/>
      <c r="CV45" s="361"/>
      <c r="CW45" s="361"/>
      <c r="CX45" s="361"/>
      <c r="CY45" s="361"/>
      <c r="CZ45" s="361"/>
      <c r="DA45" s="362"/>
    </row>
    <row r="46" spans="1:105" s="4" customFormat="1" x14ac:dyDescent="0.2">
      <c r="A46" s="6"/>
      <c r="B46" s="355" t="s">
        <v>115</v>
      </c>
      <c r="C46" s="355"/>
      <c r="D46" s="355"/>
      <c r="E46" s="355"/>
      <c r="F46" s="355"/>
      <c r="G46" s="355"/>
      <c r="H46" s="355"/>
      <c r="I46" s="355"/>
      <c r="J46" s="355"/>
      <c r="K46" s="355"/>
      <c r="L46" s="355"/>
      <c r="M46" s="355"/>
      <c r="N46" s="355"/>
      <c r="O46" s="355"/>
      <c r="P46" s="355"/>
      <c r="Q46" s="355"/>
      <c r="R46" s="355"/>
      <c r="S46" s="355"/>
      <c r="T46" s="355"/>
      <c r="U46" s="355"/>
      <c r="V46" s="355"/>
      <c r="W46" s="355"/>
      <c r="X46" s="355"/>
      <c r="Y46" s="355"/>
      <c r="Z46" s="355"/>
      <c r="AA46" s="355"/>
      <c r="AB46" s="355"/>
      <c r="AC46" s="355"/>
      <c r="AD46" s="355"/>
      <c r="AE46" s="355"/>
      <c r="AF46" s="355"/>
      <c r="AG46" s="355"/>
      <c r="AH46" s="355"/>
      <c r="AI46" s="355"/>
      <c r="AJ46" s="355"/>
      <c r="AK46" s="355"/>
      <c r="AL46" s="355"/>
      <c r="AM46" s="355"/>
      <c r="AN46" s="355"/>
      <c r="AO46" s="355"/>
      <c r="AP46" s="355"/>
      <c r="AQ46" s="355"/>
      <c r="AR46" s="355"/>
      <c r="AS46" s="355"/>
      <c r="AT46" s="355"/>
      <c r="AU46" s="355"/>
      <c r="AV46" s="355"/>
      <c r="AW46" s="355"/>
      <c r="AX46" s="355"/>
      <c r="AY46" s="355"/>
      <c r="AZ46" s="355"/>
      <c r="BA46" s="356"/>
      <c r="BB46" s="363"/>
      <c r="BC46" s="364"/>
      <c r="BD46" s="364"/>
      <c r="BE46" s="364"/>
      <c r="BF46" s="364"/>
      <c r="BG46" s="364"/>
      <c r="BH46" s="364"/>
      <c r="BI46" s="364"/>
      <c r="BJ46" s="364"/>
      <c r="BK46" s="364"/>
      <c r="BL46" s="364"/>
      <c r="BM46" s="364"/>
      <c r="BN46" s="364"/>
      <c r="BO46" s="364"/>
      <c r="BP46" s="364"/>
      <c r="BQ46" s="364"/>
      <c r="BR46" s="364"/>
      <c r="BS46" s="364"/>
      <c r="BT46" s="364"/>
      <c r="BU46" s="364"/>
      <c r="BV46" s="364"/>
      <c r="BW46" s="364"/>
      <c r="BX46" s="364"/>
      <c r="BY46" s="364"/>
      <c r="BZ46" s="364"/>
      <c r="CA46" s="365"/>
      <c r="CB46" s="363"/>
      <c r="CC46" s="364"/>
      <c r="CD46" s="364"/>
      <c r="CE46" s="364"/>
      <c r="CF46" s="364"/>
      <c r="CG46" s="364"/>
      <c r="CH46" s="364"/>
      <c r="CI46" s="364"/>
      <c r="CJ46" s="364"/>
      <c r="CK46" s="364"/>
      <c r="CL46" s="364"/>
      <c r="CM46" s="364"/>
      <c r="CN46" s="364"/>
      <c r="CO46" s="364"/>
      <c r="CP46" s="364"/>
      <c r="CQ46" s="364"/>
      <c r="CR46" s="364"/>
      <c r="CS46" s="364"/>
      <c r="CT46" s="364"/>
      <c r="CU46" s="364"/>
      <c r="CV46" s="364"/>
      <c r="CW46" s="364"/>
      <c r="CX46" s="364"/>
      <c r="CY46" s="364"/>
      <c r="CZ46" s="364"/>
      <c r="DA46" s="365"/>
    </row>
    <row r="47" spans="1:105" s="4" customFormat="1" x14ac:dyDescent="0.2">
      <c r="A47" s="376"/>
      <c r="B47" s="355"/>
      <c r="C47" s="355"/>
      <c r="D47" s="355" t="s">
        <v>114</v>
      </c>
      <c r="E47" s="355"/>
      <c r="F47" s="355"/>
      <c r="G47" s="355"/>
      <c r="H47" s="355"/>
      <c r="I47" s="355"/>
      <c r="J47" s="355"/>
      <c r="K47" s="355"/>
      <c r="L47" s="355"/>
      <c r="M47" s="355"/>
      <c r="N47" s="355"/>
      <c r="O47" s="355"/>
      <c r="P47" s="355"/>
      <c r="Q47" s="355"/>
      <c r="R47" s="355"/>
      <c r="S47" s="355"/>
      <c r="T47" s="355"/>
      <c r="U47" s="355"/>
      <c r="V47" s="355"/>
      <c r="W47" s="355"/>
      <c r="X47" s="355"/>
      <c r="Y47" s="355"/>
      <c r="Z47" s="355"/>
      <c r="AA47" s="355"/>
      <c r="AB47" s="355"/>
      <c r="AC47" s="355"/>
      <c r="AD47" s="355"/>
      <c r="AE47" s="355"/>
      <c r="AF47" s="355"/>
      <c r="AG47" s="355"/>
      <c r="AH47" s="355"/>
      <c r="AI47" s="355"/>
      <c r="AJ47" s="355"/>
      <c r="AK47" s="355"/>
      <c r="AL47" s="355"/>
      <c r="AM47" s="355"/>
      <c r="AN47" s="355"/>
      <c r="AO47" s="355"/>
      <c r="AP47" s="355"/>
      <c r="AQ47" s="355"/>
      <c r="AR47" s="355"/>
      <c r="AS47" s="355"/>
      <c r="AT47" s="355"/>
      <c r="AU47" s="355"/>
      <c r="AV47" s="355"/>
      <c r="AW47" s="355"/>
      <c r="AX47" s="355"/>
      <c r="AY47" s="355"/>
      <c r="AZ47" s="355"/>
      <c r="BA47" s="356"/>
      <c r="BB47" s="363"/>
      <c r="BC47" s="364"/>
      <c r="BD47" s="364"/>
      <c r="BE47" s="364"/>
      <c r="BF47" s="364"/>
      <c r="BG47" s="364"/>
      <c r="BH47" s="364"/>
      <c r="BI47" s="364"/>
      <c r="BJ47" s="364"/>
      <c r="BK47" s="364"/>
      <c r="BL47" s="364"/>
      <c r="BM47" s="364"/>
      <c r="BN47" s="364"/>
      <c r="BO47" s="364"/>
      <c r="BP47" s="364"/>
      <c r="BQ47" s="364"/>
      <c r="BR47" s="364"/>
      <c r="BS47" s="364"/>
      <c r="BT47" s="364"/>
      <c r="BU47" s="364"/>
      <c r="BV47" s="364"/>
      <c r="BW47" s="364"/>
      <c r="BX47" s="364"/>
      <c r="BY47" s="364"/>
      <c r="BZ47" s="364"/>
      <c r="CA47" s="365"/>
      <c r="CB47" s="363"/>
      <c r="CC47" s="364"/>
      <c r="CD47" s="364"/>
      <c r="CE47" s="364"/>
      <c r="CF47" s="364"/>
      <c r="CG47" s="364"/>
      <c r="CH47" s="364"/>
      <c r="CI47" s="364"/>
      <c r="CJ47" s="364"/>
      <c r="CK47" s="364"/>
      <c r="CL47" s="364"/>
      <c r="CM47" s="364"/>
      <c r="CN47" s="364"/>
      <c r="CO47" s="364"/>
      <c r="CP47" s="364"/>
      <c r="CQ47" s="364"/>
      <c r="CR47" s="364"/>
      <c r="CS47" s="364"/>
      <c r="CT47" s="364"/>
      <c r="CU47" s="364"/>
      <c r="CV47" s="364"/>
      <c r="CW47" s="364"/>
      <c r="CX47" s="364"/>
      <c r="CY47" s="364"/>
      <c r="CZ47" s="364"/>
      <c r="DA47" s="365"/>
    </row>
    <row r="48" spans="1:105" s="4" customFormat="1" x14ac:dyDescent="0.2">
      <c r="A48" s="377"/>
      <c r="B48" s="378"/>
      <c r="C48" s="378"/>
      <c r="D48" s="355" t="s">
        <v>113</v>
      </c>
      <c r="E48" s="355"/>
      <c r="F48" s="355"/>
      <c r="G48" s="355"/>
      <c r="H48" s="355"/>
      <c r="I48" s="355"/>
      <c r="J48" s="355"/>
      <c r="K48" s="355"/>
      <c r="L48" s="355"/>
      <c r="M48" s="355"/>
      <c r="N48" s="355"/>
      <c r="O48" s="355"/>
      <c r="P48" s="355"/>
      <c r="Q48" s="355"/>
      <c r="R48" s="355"/>
      <c r="S48" s="355"/>
      <c r="T48" s="355"/>
      <c r="U48" s="355"/>
      <c r="V48" s="355"/>
      <c r="W48" s="355"/>
      <c r="X48" s="355"/>
      <c r="Y48" s="355"/>
      <c r="Z48" s="355"/>
      <c r="AA48" s="355"/>
      <c r="AB48" s="355"/>
      <c r="AC48" s="355"/>
      <c r="AD48" s="355"/>
      <c r="AE48" s="355"/>
      <c r="AF48" s="355"/>
      <c r="AG48" s="355"/>
      <c r="AH48" s="355"/>
      <c r="AI48" s="355"/>
      <c r="AJ48" s="355"/>
      <c r="AK48" s="355"/>
      <c r="AL48" s="355"/>
      <c r="AM48" s="355"/>
      <c r="AN48" s="355"/>
      <c r="AO48" s="355"/>
      <c r="AP48" s="355"/>
      <c r="AQ48" s="355"/>
      <c r="AR48" s="355"/>
      <c r="AS48" s="355"/>
      <c r="AT48" s="355"/>
      <c r="AU48" s="355"/>
      <c r="AV48" s="355"/>
      <c r="AW48" s="355"/>
      <c r="AX48" s="355"/>
      <c r="AY48" s="355"/>
      <c r="AZ48" s="355"/>
      <c r="BA48" s="356"/>
      <c r="BB48" s="363"/>
      <c r="BC48" s="364"/>
      <c r="BD48" s="364"/>
      <c r="BE48" s="364"/>
      <c r="BF48" s="364"/>
      <c r="BG48" s="364"/>
      <c r="BH48" s="364"/>
      <c r="BI48" s="364"/>
      <c r="BJ48" s="364"/>
      <c r="BK48" s="364"/>
      <c r="BL48" s="364"/>
      <c r="BM48" s="364"/>
      <c r="BN48" s="364"/>
      <c r="BO48" s="364"/>
      <c r="BP48" s="364"/>
      <c r="BQ48" s="364"/>
      <c r="BR48" s="364"/>
      <c r="BS48" s="364"/>
      <c r="BT48" s="364"/>
      <c r="BU48" s="364"/>
      <c r="BV48" s="364"/>
      <c r="BW48" s="364"/>
      <c r="BX48" s="364"/>
      <c r="BY48" s="364"/>
      <c r="BZ48" s="364"/>
      <c r="CA48" s="365"/>
      <c r="CB48" s="363"/>
      <c r="CC48" s="364"/>
      <c r="CD48" s="364"/>
      <c r="CE48" s="364"/>
      <c r="CF48" s="364"/>
      <c r="CG48" s="364"/>
      <c r="CH48" s="364"/>
      <c r="CI48" s="364"/>
      <c r="CJ48" s="364"/>
      <c r="CK48" s="364"/>
      <c r="CL48" s="364"/>
      <c r="CM48" s="364"/>
      <c r="CN48" s="364"/>
      <c r="CO48" s="364"/>
      <c r="CP48" s="364"/>
      <c r="CQ48" s="364"/>
      <c r="CR48" s="364"/>
      <c r="CS48" s="364"/>
      <c r="CT48" s="364"/>
      <c r="CU48" s="364"/>
      <c r="CV48" s="364"/>
      <c r="CW48" s="364"/>
      <c r="CX48" s="364"/>
      <c r="CY48" s="364"/>
      <c r="CZ48" s="364"/>
      <c r="DA48" s="365"/>
    </row>
    <row r="49" spans="1:129" s="4" customFormat="1" x14ac:dyDescent="0.2">
      <c r="A49" s="5"/>
      <c r="B49" s="355" t="s">
        <v>112</v>
      </c>
      <c r="C49" s="355"/>
      <c r="D49" s="355"/>
      <c r="E49" s="355"/>
      <c r="F49" s="355"/>
      <c r="G49" s="355"/>
      <c r="H49" s="355"/>
      <c r="I49" s="355"/>
      <c r="J49" s="355"/>
      <c r="K49" s="355"/>
      <c r="L49" s="355"/>
      <c r="M49" s="355"/>
      <c r="N49" s="355"/>
      <c r="O49" s="355"/>
      <c r="P49" s="355"/>
      <c r="Q49" s="355"/>
      <c r="R49" s="355"/>
      <c r="S49" s="355"/>
      <c r="T49" s="355"/>
      <c r="U49" s="355"/>
      <c r="V49" s="355"/>
      <c r="W49" s="355"/>
      <c r="X49" s="355"/>
      <c r="Y49" s="355"/>
      <c r="Z49" s="355"/>
      <c r="AA49" s="355"/>
      <c r="AB49" s="355"/>
      <c r="AC49" s="355"/>
      <c r="AD49" s="355"/>
      <c r="AE49" s="355"/>
      <c r="AF49" s="355"/>
      <c r="AG49" s="355"/>
      <c r="AH49" s="355"/>
      <c r="AI49" s="355"/>
      <c r="AJ49" s="355"/>
      <c r="AK49" s="355"/>
      <c r="AL49" s="355"/>
      <c r="AM49" s="355"/>
      <c r="AN49" s="355"/>
      <c r="AO49" s="355"/>
      <c r="AP49" s="355"/>
      <c r="AQ49" s="355"/>
      <c r="AR49" s="355"/>
      <c r="AS49" s="355"/>
      <c r="AT49" s="355"/>
      <c r="AU49" s="355"/>
      <c r="AV49" s="355"/>
      <c r="AW49" s="355"/>
      <c r="AX49" s="355"/>
      <c r="AY49" s="355"/>
      <c r="AZ49" s="355"/>
      <c r="BA49" s="356"/>
      <c r="BB49" s="363"/>
      <c r="BC49" s="364"/>
      <c r="BD49" s="364"/>
      <c r="BE49" s="364"/>
      <c r="BF49" s="364"/>
      <c r="BG49" s="364"/>
      <c r="BH49" s="364"/>
      <c r="BI49" s="364"/>
      <c r="BJ49" s="364"/>
      <c r="BK49" s="364"/>
      <c r="BL49" s="364"/>
      <c r="BM49" s="364"/>
      <c r="BN49" s="364"/>
      <c r="BO49" s="364"/>
      <c r="BP49" s="364"/>
      <c r="BQ49" s="364"/>
      <c r="BR49" s="364"/>
      <c r="BS49" s="364"/>
      <c r="BT49" s="364"/>
      <c r="BU49" s="364"/>
      <c r="BV49" s="364"/>
      <c r="BW49" s="364"/>
      <c r="BX49" s="364"/>
      <c r="BY49" s="364"/>
      <c r="BZ49" s="364"/>
      <c r="CA49" s="365"/>
      <c r="CB49" s="363"/>
      <c r="CC49" s="364"/>
      <c r="CD49" s="364"/>
      <c r="CE49" s="364"/>
      <c r="CF49" s="364"/>
      <c r="CG49" s="364"/>
      <c r="CH49" s="364"/>
      <c r="CI49" s="364"/>
      <c r="CJ49" s="364"/>
      <c r="CK49" s="364"/>
      <c r="CL49" s="364"/>
      <c r="CM49" s="364"/>
      <c r="CN49" s="364"/>
      <c r="CO49" s="364"/>
      <c r="CP49" s="364"/>
      <c r="CQ49" s="364"/>
      <c r="CR49" s="364"/>
      <c r="CS49" s="364"/>
      <c r="CT49" s="364"/>
      <c r="CU49" s="364"/>
      <c r="CV49" s="364"/>
      <c r="CW49" s="364"/>
      <c r="CX49" s="364"/>
      <c r="CY49" s="364"/>
      <c r="CZ49" s="364"/>
      <c r="DA49" s="365"/>
    </row>
    <row r="50" spans="1:129" s="88" customFormat="1" ht="22.5" customHeight="1" x14ac:dyDescent="0.2">
      <c r="C50" s="374" t="s">
        <v>24</v>
      </c>
      <c r="D50" s="374"/>
      <c r="E50" s="88" t="s">
        <v>111</v>
      </c>
    </row>
    <row r="54" spans="1:129" ht="18.75" x14ac:dyDescent="0.3">
      <c r="A54" s="375" t="s">
        <v>326</v>
      </c>
      <c r="B54" s="375"/>
      <c r="C54" s="375"/>
      <c r="D54" s="375"/>
      <c r="E54" s="375"/>
      <c r="F54" s="375"/>
      <c r="G54" s="375"/>
      <c r="H54" s="375"/>
      <c r="I54" s="375"/>
      <c r="J54" s="375"/>
      <c r="K54" s="375"/>
      <c r="L54" s="375"/>
      <c r="M54" s="375"/>
      <c r="N54" s="375"/>
      <c r="O54" s="375"/>
      <c r="P54" s="375"/>
      <c r="Q54" s="375"/>
      <c r="R54" s="375"/>
      <c r="S54" s="375"/>
      <c r="T54" s="375"/>
      <c r="U54" s="375"/>
      <c r="V54" s="375"/>
      <c r="W54" s="375"/>
      <c r="X54" s="375"/>
      <c r="Y54" s="375"/>
      <c r="Z54" s="375"/>
      <c r="AA54" s="375"/>
      <c r="AB54" s="375"/>
      <c r="AC54" s="375"/>
      <c r="AD54" s="375"/>
      <c r="AE54" s="375"/>
      <c r="AF54" s="375"/>
      <c r="AG54" s="375"/>
      <c r="AH54" s="375"/>
      <c r="AI54" s="375"/>
      <c r="AJ54" s="375"/>
      <c r="AK54" s="375"/>
      <c r="AL54" s="375"/>
      <c r="AM54" s="375"/>
      <c r="AN54" s="375"/>
      <c r="AO54" s="375"/>
      <c r="AP54" s="375"/>
      <c r="AQ54" s="375"/>
      <c r="AR54" s="375"/>
      <c r="AS54" s="375"/>
      <c r="AT54" s="375"/>
      <c r="AU54" s="375"/>
      <c r="AV54" s="375"/>
      <c r="AW54" s="375"/>
      <c r="AX54" s="375"/>
      <c r="AY54" s="375"/>
      <c r="AZ54" s="375"/>
      <c r="BA54" s="375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06" t="s">
        <v>327</v>
      </c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</row>
    <row r="55" spans="1:129" ht="18.75" x14ac:dyDescent="0.3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</row>
  </sheetData>
  <mergeCells count="130">
    <mergeCell ref="BA3:DA3"/>
    <mergeCell ref="K12:BD12"/>
    <mergeCell ref="BE12:BH12"/>
    <mergeCell ref="BI12:BR12"/>
    <mergeCell ref="BS12:BY12"/>
    <mergeCell ref="BZ12:CE12"/>
    <mergeCell ref="CF12:CL12"/>
    <mergeCell ref="CM12:CU12"/>
    <mergeCell ref="BN7:CI7"/>
    <mergeCell ref="BN9:DA9"/>
    <mergeCell ref="BZ10:DA10"/>
    <mergeCell ref="AZ4:CZ4"/>
    <mergeCell ref="AZ6:CZ6"/>
    <mergeCell ref="CB15:DA16"/>
    <mergeCell ref="A16:BA16"/>
    <mergeCell ref="A21:C21"/>
    <mergeCell ref="D21:BA21"/>
    <mergeCell ref="BB21:CA21"/>
    <mergeCell ref="CB21:DA21"/>
    <mergeCell ref="A22:C22"/>
    <mergeCell ref="D22:BA22"/>
    <mergeCell ref="BB22:CA22"/>
    <mergeCell ref="CB22:DA22"/>
    <mergeCell ref="B20:BA20"/>
    <mergeCell ref="BB20:CA20"/>
    <mergeCell ref="CB20:DA20"/>
    <mergeCell ref="B19:BA19"/>
    <mergeCell ref="BB19:CA19"/>
    <mergeCell ref="CB19:DA19"/>
    <mergeCell ref="A17:BA17"/>
    <mergeCell ref="BB17:CA17"/>
    <mergeCell ref="CB17:DA17"/>
    <mergeCell ref="B18:BA18"/>
    <mergeCell ref="BB18:CA18"/>
    <mergeCell ref="CB18:DA18"/>
    <mergeCell ref="A15:BA15"/>
    <mergeCell ref="BB15:CA16"/>
    <mergeCell ref="A25:C25"/>
    <mergeCell ref="D25:BA25"/>
    <mergeCell ref="BB25:CA25"/>
    <mergeCell ref="CB25:DA25"/>
    <mergeCell ref="A26:C26"/>
    <mergeCell ref="D26:BA26"/>
    <mergeCell ref="BB26:CA26"/>
    <mergeCell ref="CB26:DA26"/>
    <mergeCell ref="B23:BA23"/>
    <mergeCell ref="BB23:CA23"/>
    <mergeCell ref="CB23:DA23"/>
    <mergeCell ref="B24:BA24"/>
    <mergeCell ref="BB24:CA24"/>
    <mergeCell ref="CB24:DA24"/>
    <mergeCell ref="A29:C29"/>
    <mergeCell ref="D29:BA29"/>
    <mergeCell ref="BB29:CA29"/>
    <mergeCell ref="CB29:DA29"/>
    <mergeCell ref="A30:C30"/>
    <mergeCell ref="D30:BA30"/>
    <mergeCell ref="BB30:CA30"/>
    <mergeCell ref="CB30:DA30"/>
    <mergeCell ref="B27:BA27"/>
    <mergeCell ref="BB27:CA27"/>
    <mergeCell ref="CB27:DA27"/>
    <mergeCell ref="B28:BA28"/>
    <mergeCell ref="BB28:CA28"/>
    <mergeCell ref="CB28:DA28"/>
    <mergeCell ref="B33:BA33"/>
    <mergeCell ref="BB33:CA33"/>
    <mergeCell ref="CB33:DA33"/>
    <mergeCell ref="A34:C34"/>
    <mergeCell ref="D34:BA34"/>
    <mergeCell ref="BB34:CA34"/>
    <mergeCell ref="CB34:DA34"/>
    <mergeCell ref="A31:C31"/>
    <mergeCell ref="D31:BA31"/>
    <mergeCell ref="BB31:CA31"/>
    <mergeCell ref="CB31:DA31"/>
    <mergeCell ref="A32:C32"/>
    <mergeCell ref="D32:BA32"/>
    <mergeCell ref="BB32:CA32"/>
    <mergeCell ref="CB32:DA32"/>
    <mergeCell ref="CB37:DA37"/>
    <mergeCell ref="A38:E38"/>
    <mergeCell ref="F38:BA38"/>
    <mergeCell ref="BB38:CA38"/>
    <mergeCell ref="CB38:DA38"/>
    <mergeCell ref="A35:C35"/>
    <mergeCell ref="D35:BA35"/>
    <mergeCell ref="BB35:CA35"/>
    <mergeCell ref="CB35:DA35"/>
    <mergeCell ref="A36:E36"/>
    <mergeCell ref="F36:BA36"/>
    <mergeCell ref="BB36:CA36"/>
    <mergeCell ref="CB36:DA36"/>
    <mergeCell ref="B49:BA49"/>
    <mergeCell ref="BB49:CA49"/>
    <mergeCell ref="CB49:DA49"/>
    <mergeCell ref="C50:D50"/>
    <mergeCell ref="A54:BA54"/>
    <mergeCell ref="A47:C47"/>
    <mergeCell ref="D47:BA47"/>
    <mergeCell ref="BB47:CA47"/>
    <mergeCell ref="CB47:DA47"/>
    <mergeCell ref="A48:C48"/>
    <mergeCell ref="D48:BA48"/>
    <mergeCell ref="BB48:CA48"/>
    <mergeCell ref="CB48:DA48"/>
    <mergeCell ref="BU1:DA1"/>
    <mergeCell ref="B44:BA44"/>
    <mergeCell ref="BB44:CA44"/>
    <mergeCell ref="CB44:DA44"/>
    <mergeCell ref="A45:DA45"/>
    <mergeCell ref="B46:BA46"/>
    <mergeCell ref="BB46:CA46"/>
    <mergeCell ref="CB46:DA46"/>
    <mergeCell ref="B42:BA42"/>
    <mergeCell ref="BB42:CA42"/>
    <mergeCell ref="CB42:DA42"/>
    <mergeCell ref="B43:BA43"/>
    <mergeCell ref="BB43:CA43"/>
    <mergeCell ref="CB43:DA43"/>
    <mergeCell ref="B39:BA39"/>
    <mergeCell ref="BB39:CA39"/>
    <mergeCell ref="CB39:DA39"/>
    <mergeCell ref="A40:DA40"/>
    <mergeCell ref="B41:BA41"/>
    <mergeCell ref="BB41:CA41"/>
    <mergeCell ref="CB41:DA41"/>
    <mergeCell ref="A37:E37"/>
    <mergeCell ref="F37:BA37"/>
    <mergeCell ref="BB37:CA37"/>
  </mergeCells>
  <pageMargins left="0.70866141732283472" right="0.27559055118110237" top="0.74803149606299213" bottom="0.74803149606299213" header="0.31496062992125984" footer="0.31496062992125984"/>
  <pageSetup paperSize="9" scale="8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5"/>
  <sheetViews>
    <sheetView workbookViewId="0">
      <selection activeCell="B59" sqref="B59"/>
    </sheetView>
  </sheetViews>
  <sheetFormatPr defaultColWidth="7.28515625" defaultRowHeight="11.25" x14ac:dyDescent="0.2"/>
  <cols>
    <col min="1" max="1" width="7.28515625" style="80"/>
    <col min="2" max="2" width="38.28515625" style="80" customWidth="1"/>
    <col min="3" max="3" width="9.140625" style="80" customWidth="1"/>
    <col min="4" max="4" width="9.5703125" style="113" customWidth="1"/>
    <col min="5" max="5" width="10.7109375" style="113" customWidth="1"/>
    <col min="6" max="6" width="10.28515625" style="113" customWidth="1"/>
    <col min="7" max="7" width="11.85546875" style="113" customWidth="1"/>
    <col min="8" max="8" width="18.7109375" style="113" customWidth="1"/>
    <col min="9" max="9" width="16.7109375" style="80" customWidth="1"/>
    <col min="10" max="10" width="20.7109375" style="80" customWidth="1"/>
    <col min="11" max="11" width="15.42578125" style="80" customWidth="1"/>
    <col min="12" max="16384" width="7.28515625" style="80"/>
  </cols>
  <sheetData>
    <row r="1" spans="1:12" x14ac:dyDescent="0.2">
      <c r="K1" s="110" t="s">
        <v>254</v>
      </c>
    </row>
    <row r="2" spans="1:12" x14ac:dyDescent="0.2">
      <c r="K2" s="110" t="s">
        <v>255</v>
      </c>
    </row>
    <row r="3" spans="1:12" x14ac:dyDescent="0.2">
      <c r="F3" s="114"/>
      <c r="G3" s="114"/>
      <c r="H3" s="114"/>
      <c r="K3" s="110" t="s">
        <v>256</v>
      </c>
    </row>
    <row r="4" spans="1:12" x14ac:dyDescent="0.2">
      <c r="F4" s="114"/>
      <c r="G4" s="114"/>
      <c r="H4" s="114"/>
      <c r="I4" s="112"/>
      <c r="J4" s="112"/>
    </row>
    <row r="5" spans="1:12" s="115" customFormat="1" ht="15.6" customHeight="1" x14ac:dyDescent="0.3">
      <c r="A5" s="336" t="s">
        <v>257</v>
      </c>
      <c r="B5" s="336"/>
      <c r="C5" s="336"/>
      <c r="D5" s="336"/>
      <c r="E5" s="336"/>
      <c r="F5" s="336"/>
      <c r="G5" s="336"/>
      <c r="H5" s="336"/>
      <c r="I5" s="336"/>
      <c r="J5" s="336"/>
      <c r="K5" s="336"/>
    </row>
    <row r="6" spans="1:12" s="115" customFormat="1" ht="10.5" x14ac:dyDescent="0.15">
      <c r="A6" s="116"/>
      <c r="B6" s="117"/>
      <c r="C6" s="117"/>
      <c r="D6" s="118"/>
      <c r="E6" s="118"/>
      <c r="F6" s="118"/>
      <c r="G6" s="118"/>
      <c r="H6" s="118"/>
    </row>
    <row r="7" spans="1:12" s="115" customFormat="1" ht="15.6" customHeight="1" x14ac:dyDescent="0.15">
      <c r="A7" s="116"/>
      <c r="B7" s="117"/>
      <c r="C7" s="117"/>
      <c r="D7" s="118"/>
      <c r="E7" s="118"/>
      <c r="F7" s="118"/>
      <c r="G7" s="118"/>
      <c r="H7" s="198"/>
      <c r="I7" s="193"/>
      <c r="J7" s="199" t="s">
        <v>178</v>
      </c>
      <c r="K7" s="193"/>
      <c r="L7" s="56"/>
    </row>
    <row r="8" spans="1:12" s="115" customFormat="1" ht="12.75" customHeight="1" x14ac:dyDescent="0.15">
      <c r="A8" s="117"/>
      <c r="B8" s="117"/>
      <c r="C8" s="117"/>
      <c r="D8" s="118"/>
      <c r="E8" s="118"/>
      <c r="F8" s="118"/>
      <c r="G8" s="118"/>
      <c r="H8" s="407" t="s">
        <v>317</v>
      </c>
      <c r="I8" s="407"/>
      <c r="J8" s="407"/>
      <c r="K8" s="407"/>
      <c r="L8" s="108"/>
    </row>
    <row r="9" spans="1:12" s="115" customFormat="1" ht="12.75" customHeight="1" x14ac:dyDescent="0.15">
      <c r="A9" s="117"/>
      <c r="B9" s="117"/>
      <c r="C9" s="117"/>
      <c r="D9" s="118"/>
      <c r="E9" s="118"/>
      <c r="F9" s="118"/>
      <c r="G9" s="118"/>
      <c r="H9" s="223"/>
      <c r="I9" s="223"/>
      <c r="J9" s="223"/>
      <c r="K9" s="223"/>
      <c r="L9" s="204"/>
    </row>
    <row r="10" spans="1:12" ht="12.75" customHeight="1" x14ac:dyDescent="0.2">
      <c r="H10" s="223"/>
      <c r="I10" s="403" t="s">
        <v>311</v>
      </c>
      <c r="J10" s="403"/>
      <c r="K10" s="403"/>
      <c r="L10" s="119"/>
    </row>
    <row r="11" spans="1:12" ht="12.75" x14ac:dyDescent="0.2">
      <c r="H11" s="224"/>
      <c r="I11" s="225"/>
      <c r="J11" s="225"/>
      <c r="K11" s="225"/>
      <c r="L11" s="111"/>
    </row>
    <row r="12" spans="1:12" ht="12.75" x14ac:dyDescent="0.2">
      <c r="H12" s="404" t="s">
        <v>321</v>
      </c>
      <c r="I12" s="404"/>
      <c r="J12" s="404"/>
      <c r="K12" s="404"/>
      <c r="L12" s="109"/>
    </row>
    <row r="13" spans="1:12" ht="12.75" x14ac:dyDescent="0.2">
      <c r="H13" s="224"/>
      <c r="I13" s="226"/>
      <c r="J13" s="226"/>
      <c r="K13" s="226" t="s">
        <v>12</v>
      </c>
    </row>
    <row r="15" spans="1:12" s="115" customFormat="1" ht="46.15" customHeight="1" x14ac:dyDescent="0.15">
      <c r="A15" s="405" t="s">
        <v>258</v>
      </c>
      <c r="B15" s="406" t="s">
        <v>259</v>
      </c>
      <c r="C15" s="405" t="s">
        <v>260</v>
      </c>
      <c r="D15" s="405"/>
      <c r="E15" s="405"/>
      <c r="F15" s="405" t="s">
        <v>261</v>
      </c>
      <c r="G15" s="405"/>
      <c r="H15" s="405" t="s">
        <v>262</v>
      </c>
      <c r="I15" s="405"/>
      <c r="J15" s="405"/>
      <c r="K15" s="405"/>
    </row>
    <row r="16" spans="1:12" s="115" customFormat="1" ht="51.95" customHeight="1" x14ac:dyDescent="0.15">
      <c r="A16" s="405"/>
      <c r="B16" s="406"/>
      <c r="C16" s="107" t="s">
        <v>263</v>
      </c>
      <c r="D16" s="107" t="s">
        <v>264</v>
      </c>
      <c r="E16" s="170" t="s">
        <v>265</v>
      </c>
      <c r="F16" s="170" t="s">
        <v>266</v>
      </c>
      <c r="G16" s="170" t="s">
        <v>267</v>
      </c>
      <c r="H16" s="107" t="s">
        <v>268</v>
      </c>
      <c r="I16" s="107" t="s">
        <v>269</v>
      </c>
      <c r="J16" s="107" t="s">
        <v>270</v>
      </c>
      <c r="K16" s="107" t="s">
        <v>271</v>
      </c>
    </row>
    <row r="17" spans="1:11" s="115" customFormat="1" ht="10.5" x14ac:dyDescent="0.15">
      <c r="A17" s="200">
        <v>1</v>
      </c>
      <c r="B17" s="200">
        <v>2</v>
      </c>
      <c r="C17" s="200">
        <v>3</v>
      </c>
      <c r="D17" s="200">
        <v>4</v>
      </c>
      <c r="E17" s="200">
        <v>5</v>
      </c>
      <c r="F17" s="200">
        <v>6</v>
      </c>
      <c r="G17" s="200">
        <v>7</v>
      </c>
      <c r="H17" s="200">
        <v>8</v>
      </c>
      <c r="I17" s="200">
        <v>9</v>
      </c>
      <c r="J17" s="200">
        <v>10</v>
      </c>
      <c r="K17" s="200">
        <v>11</v>
      </c>
    </row>
    <row r="18" spans="1:11" s="125" customFormat="1" x14ac:dyDescent="0.2">
      <c r="A18" s="120"/>
      <c r="B18" s="121" t="s">
        <v>13</v>
      </c>
      <c r="C18" s="122"/>
      <c r="D18" s="123"/>
      <c r="E18" s="123"/>
      <c r="F18" s="123"/>
      <c r="G18" s="123"/>
      <c r="H18" s="123"/>
      <c r="I18" s="124"/>
      <c r="J18" s="124"/>
      <c r="K18" s="124"/>
    </row>
    <row r="19" spans="1:11" s="126" customFormat="1" x14ac:dyDescent="0.2">
      <c r="A19" s="120" t="s">
        <v>16</v>
      </c>
      <c r="B19" s="121" t="s">
        <v>14</v>
      </c>
      <c r="C19" s="124"/>
      <c r="D19" s="123"/>
      <c r="E19" s="123"/>
      <c r="F19" s="123"/>
      <c r="G19" s="123"/>
      <c r="H19" s="123"/>
      <c r="I19" s="124"/>
      <c r="J19" s="124"/>
      <c r="K19" s="124"/>
    </row>
    <row r="20" spans="1:11" s="126" customFormat="1" ht="21" x14ac:dyDescent="0.2">
      <c r="A20" s="120" t="s">
        <v>29</v>
      </c>
      <c r="B20" s="121" t="s">
        <v>15</v>
      </c>
      <c r="C20" s="124"/>
      <c r="D20" s="123"/>
      <c r="E20" s="123"/>
      <c r="F20" s="123"/>
      <c r="G20" s="123"/>
      <c r="H20" s="123"/>
      <c r="I20" s="124"/>
      <c r="J20" s="124"/>
      <c r="K20" s="124"/>
    </row>
    <row r="21" spans="1:11" s="126" customFormat="1" ht="22.5" x14ac:dyDescent="0.2">
      <c r="A21" s="127" t="s">
        <v>205</v>
      </c>
      <c r="B21" s="128" t="s">
        <v>190</v>
      </c>
      <c r="C21" s="130"/>
      <c r="D21" s="129"/>
      <c r="E21" s="129">
        <v>0.5</v>
      </c>
      <c r="F21" s="129">
        <v>2017</v>
      </c>
      <c r="G21" s="129">
        <v>2017</v>
      </c>
      <c r="H21" s="129" t="s">
        <v>273</v>
      </c>
      <c r="I21" s="129" t="s">
        <v>272</v>
      </c>
      <c r="J21" s="129" t="s">
        <v>273</v>
      </c>
      <c r="K21" s="129" t="s">
        <v>273</v>
      </c>
    </row>
    <row r="22" spans="1:11" ht="45" x14ac:dyDescent="0.2">
      <c r="A22" s="127" t="s">
        <v>206</v>
      </c>
      <c r="B22" s="134" t="s">
        <v>202</v>
      </c>
      <c r="C22" s="132">
        <v>0.4</v>
      </c>
      <c r="D22" s="129"/>
      <c r="E22" s="129"/>
      <c r="F22" s="133">
        <v>2019</v>
      </c>
      <c r="G22" s="133">
        <v>2019</v>
      </c>
      <c r="H22" s="129" t="s">
        <v>273</v>
      </c>
      <c r="I22" s="129" t="s">
        <v>272</v>
      </c>
      <c r="J22" s="129" t="s">
        <v>273</v>
      </c>
      <c r="K22" s="129" t="s">
        <v>273</v>
      </c>
    </row>
    <row r="23" spans="1:11" ht="45" x14ac:dyDescent="0.2">
      <c r="A23" s="127" t="s">
        <v>207</v>
      </c>
      <c r="B23" s="134" t="s">
        <v>203</v>
      </c>
      <c r="C23" s="132">
        <v>1.1299999999999999</v>
      </c>
      <c r="D23" s="129"/>
      <c r="E23" s="129"/>
      <c r="F23" s="133">
        <v>2019</v>
      </c>
      <c r="G23" s="133">
        <v>2019</v>
      </c>
      <c r="H23" s="129" t="s">
        <v>273</v>
      </c>
      <c r="I23" s="129" t="s">
        <v>272</v>
      </c>
      <c r="J23" s="129" t="s">
        <v>273</v>
      </c>
      <c r="K23" s="129" t="s">
        <v>273</v>
      </c>
    </row>
    <row r="24" spans="1:11" ht="45" x14ac:dyDescent="0.2">
      <c r="A24" s="127" t="s">
        <v>208</v>
      </c>
      <c r="B24" s="134" t="s">
        <v>204</v>
      </c>
      <c r="C24" s="132">
        <v>1.26</v>
      </c>
      <c r="D24" s="129"/>
      <c r="E24" s="129"/>
      <c r="F24" s="133">
        <v>2019</v>
      </c>
      <c r="G24" s="133">
        <v>2019</v>
      </c>
      <c r="H24" s="129" t="s">
        <v>273</v>
      </c>
      <c r="I24" s="129" t="s">
        <v>272</v>
      </c>
      <c r="J24" s="129" t="s">
        <v>273</v>
      </c>
      <c r="K24" s="129" t="s">
        <v>273</v>
      </c>
    </row>
    <row r="25" spans="1:11" ht="33.75" x14ac:dyDescent="0.2">
      <c r="A25" s="127" t="s">
        <v>209</v>
      </c>
      <c r="B25" s="128" t="s">
        <v>199</v>
      </c>
      <c r="C25" s="129" t="s">
        <v>272</v>
      </c>
      <c r="D25" s="129"/>
      <c r="E25" s="129"/>
      <c r="F25" s="129" t="s">
        <v>272</v>
      </c>
      <c r="G25" s="129" t="s">
        <v>272</v>
      </c>
      <c r="H25" s="129" t="s">
        <v>273</v>
      </c>
      <c r="I25" s="129" t="s">
        <v>272</v>
      </c>
      <c r="J25" s="129" t="s">
        <v>273</v>
      </c>
      <c r="K25" s="129" t="s">
        <v>273</v>
      </c>
    </row>
    <row r="26" spans="1:11" ht="22.5" x14ac:dyDescent="0.2">
      <c r="A26" s="127" t="s">
        <v>210</v>
      </c>
      <c r="B26" s="134" t="s">
        <v>291</v>
      </c>
      <c r="C26" s="289"/>
      <c r="D26" s="286"/>
      <c r="E26" s="287"/>
      <c r="F26" s="133"/>
      <c r="G26" s="133"/>
      <c r="H26" s="129"/>
      <c r="I26" s="129"/>
      <c r="J26" s="129"/>
      <c r="K26" s="129"/>
    </row>
    <row r="27" spans="1:11" ht="21" x14ac:dyDescent="0.2">
      <c r="A27" s="120" t="s">
        <v>30</v>
      </c>
      <c r="B27" s="121" t="s">
        <v>18</v>
      </c>
      <c r="C27" s="135"/>
      <c r="D27" s="123"/>
      <c r="E27" s="123"/>
      <c r="F27" s="123"/>
      <c r="G27" s="123"/>
      <c r="H27" s="123"/>
      <c r="I27" s="124"/>
      <c r="J27" s="124"/>
      <c r="K27" s="124"/>
    </row>
    <row r="28" spans="1:11" ht="33.75" x14ac:dyDescent="0.2">
      <c r="A28" s="127" t="s">
        <v>211</v>
      </c>
      <c r="B28" s="128" t="s">
        <v>150</v>
      </c>
      <c r="C28" s="132">
        <v>32</v>
      </c>
      <c r="D28" s="129"/>
      <c r="E28" s="129"/>
      <c r="F28" s="133">
        <v>2016</v>
      </c>
      <c r="G28" s="133">
        <v>2017</v>
      </c>
      <c r="H28" s="129" t="s">
        <v>273</v>
      </c>
      <c r="I28" s="129" t="s">
        <v>272</v>
      </c>
      <c r="J28" s="129" t="s">
        <v>273</v>
      </c>
      <c r="K28" s="129" t="s">
        <v>273</v>
      </c>
    </row>
    <row r="29" spans="1:11" ht="21" x14ac:dyDescent="0.2">
      <c r="A29" s="120" t="s">
        <v>31</v>
      </c>
      <c r="B29" s="121" t="s">
        <v>19</v>
      </c>
      <c r="C29" s="135"/>
      <c r="D29" s="123"/>
      <c r="E29" s="123"/>
      <c r="F29" s="123"/>
      <c r="G29" s="123"/>
      <c r="H29" s="123"/>
      <c r="I29" s="124"/>
      <c r="J29" s="124"/>
      <c r="K29" s="124"/>
    </row>
    <row r="30" spans="1:11" ht="31.5" x14ac:dyDescent="0.2">
      <c r="A30" s="120" t="s">
        <v>32</v>
      </c>
      <c r="B30" s="121" t="s">
        <v>20</v>
      </c>
      <c r="C30" s="135"/>
      <c r="D30" s="123"/>
      <c r="E30" s="123"/>
      <c r="F30" s="123"/>
      <c r="G30" s="123"/>
      <c r="H30" s="123"/>
      <c r="I30" s="124"/>
      <c r="J30" s="124"/>
      <c r="K30" s="124"/>
    </row>
    <row r="31" spans="1:11" x14ac:dyDescent="0.2">
      <c r="A31" s="120" t="s">
        <v>152</v>
      </c>
      <c r="B31" s="121" t="s">
        <v>151</v>
      </c>
      <c r="C31" s="135"/>
      <c r="D31" s="123"/>
      <c r="E31" s="123"/>
      <c r="F31" s="123"/>
      <c r="G31" s="123"/>
      <c r="H31" s="123"/>
      <c r="I31" s="124"/>
      <c r="J31" s="124"/>
      <c r="K31" s="124"/>
    </row>
    <row r="32" spans="1:11" ht="22.5" x14ac:dyDescent="0.2">
      <c r="A32" s="127" t="s">
        <v>212</v>
      </c>
      <c r="B32" s="302" t="s">
        <v>160</v>
      </c>
      <c r="C32" s="131"/>
      <c r="D32" s="129"/>
      <c r="E32" s="136">
        <v>0.11</v>
      </c>
      <c r="F32" s="137">
        <v>2016</v>
      </c>
      <c r="G32" s="137">
        <v>2017</v>
      </c>
      <c r="H32" s="129" t="s">
        <v>273</v>
      </c>
      <c r="I32" s="129" t="s">
        <v>272</v>
      </c>
      <c r="J32" s="129" t="s">
        <v>273</v>
      </c>
      <c r="K32" s="129" t="s">
        <v>273</v>
      </c>
    </row>
    <row r="33" spans="1:11" ht="22.5" x14ac:dyDescent="0.2">
      <c r="A33" s="127" t="s">
        <v>213</v>
      </c>
      <c r="B33" s="302" t="s">
        <v>161</v>
      </c>
      <c r="C33" s="131"/>
      <c r="D33" s="129"/>
      <c r="E33" s="136">
        <v>0.23400000000000001</v>
      </c>
      <c r="F33" s="137">
        <v>2016</v>
      </c>
      <c r="G33" s="137">
        <v>2017</v>
      </c>
      <c r="H33" s="129" t="s">
        <v>273</v>
      </c>
      <c r="I33" s="129" t="s">
        <v>272</v>
      </c>
      <c r="J33" s="129" t="s">
        <v>273</v>
      </c>
      <c r="K33" s="129" t="s">
        <v>273</v>
      </c>
    </row>
    <row r="34" spans="1:11" ht="22.5" x14ac:dyDescent="0.2">
      <c r="A34" s="127" t="s">
        <v>214</v>
      </c>
      <c r="B34" s="128" t="s">
        <v>168</v>
      </c>
      <c r="C34" s="131"/>
      <c r="D34" s="129"/>
      <c r="E34" s="129">
        <v>0.13</v>
      </c>
      <c r="F34" s="137">
        <v>2016</v>
      </c>
      <c r="G34" s="137">
        <v>2016</v>
      </c>
      <c r="H34" s="129" t="s">
        <v>273</v>
      </c>
      <c r="I34" s="129" t="s">
        <v>272</v>
      </c>
      <c r="J34" s="129" t="s">
        <v>273</v>
      </c>
      <c r="K34" s="129" t="s">
        <v>273</v>
      </c>
    </row>
    <row r="35" spans="1:11" ht="22.5" x14ac:dyDescent="0.2">
      <c r="A35" s="127" t="s">
        <v>215</v>
      </c>
      <c r="B35" s="302" t="s">
        <v>162</v>
      </c>
      <c r="C35" s="131"/>
      <c r="D35" s="129"/>
      <c r="E35" s="136">
        <v>0.15</v>
      </c>
      <c r="F35" s="137">
        <v>2016</v>
      </c>
      <c r="G35" s="137">
        <v>2017</v>
      </c>
      <c r="H35" s="129" t="s">
        <v>273</v>
      </c>
      <c r="I35" s="129" t="s">
        <v>272</v>
      </c>
      <c r="J35" s="129" t="s">
        <v>273</v>
      </c>
      <c r="K35" s="129" t="s">
        <v>273</v>
      </c>
    </row>
    <row r="36" spans="1:11" ht="22.5" x14ac:dyDescent="0.2">
      <c r="A36" s="127" t="s">
        <v>216</v>
      </c>
      <c r="B36" s="302" t="s">
        <v>163</v>
      </c>
      <c r="C36" s="131"/>
      <c r="D36" s="129"/>
      <c r="E36" s="136">
        <v>0.05</v>
      </c>
      <c r="F36" s="137">
        <v>2016</v>
      </c>
      <c r="G36" s="137">
        <v>2017</v>
      </c>
      <c r="H36" s="129" t="s">
        <v>273</v>
      </c>
      <c r="I36" s="129" t="s">
        <v>272</v>
      </c>
      <c r="J36" s="129" t="s">
        <v>273</v>
      </c>
      <c r="K36" s="129" t="s">
        <v>273</v>
      </c>
    </row>
    <row r="37" spans="1:11" ht="22.5" x14ac:dyDescent="0.2">
      <c r="A37" s="127" t="s">
        <v>217</v>
      </c>
      <c r="B37" s="302" t="s">
        <v>167</v>
      </c>
      <c r="C37" s="131"/>
      <c r="D37" s="129"/>
      <c r="E37" s="136">
        <f>0.5+0.2+0.043</f>
        <v>0.74299999999999999</v>
      </c>
      <c r="F37" s="137">
        <v>2016</v>
      </c>
      <c r="G37" s="137">
        <v>2017</v>
      </c>
      <c r="H37" s="129" t="s">
        <v>273</v>
      </c>
      <c r="I37" s="129" t="s">
        <v>272</v>
      </c>
      <c r="J37" s="129" t="s">
        <v>273</v>
      </c>
      <c r="K37" s="129" t="s">
        <v>273</v>
      </c>
    </row>
    <row r="38" spans="1:11" ht="22.5" x14ac:dyDescent="0.2">
      <c r="A38" s="127" t="s">
        <v>218</v>
      </c>
      <c r="B38" s="302" t="s">
        <v>164</v>
      </c>
      <c r="C38" s="131"/>
      <c r="D38" s="129"/>
      <c r="E38" s="136">
        <v>0.22500000000000001</v>
      </c>
      <c r="F38" s="137">
        <v>2016</v>
      </c>
      <c r="G38" s="137">
        <v>2017</v>
      </c>
      <c r="H38" s="129" t="s">
        <v>273</v>
      </c>
      <c r="I38" s="129" t="s">
        <v>272</v>
      </c>
      <c r="J38" s="129" t="s">
        <v>273</v>
      </c>
      <c r="K38" s="129" t="s">
        <v>273</v>
      </c>
    </row>
    <row r="39" spans="1:11" ht="22.5" x14ac:dyDescent="0.2">
      <c r="A39" s="127" t="s">
        <v>219</v>
      </c>
      <c r="B39" s="128" t="s">
        <v>166</v>
      </c>
      <c r="C39" s="131"/>
      <c r="D39" s="129"/>
      <c r="E39" s="136">
        <v>0.2</v>
      </c>
      <c r="F39" s="137">
        <v>2016</v>
      </c>
      <c r="G39" s="137">
        <v>2017</v>
      </c>
      <c r="H39" s="129" t="s">
        <v>273</v>
      </c>
      <c r="I39" s="129" t="s">
        <v>272</v>
      </c>
      <c r="J39" s="129" t="s">
        <v>273</v>
      </c>
      <c r="K39" s="129" t="s">
        <v>273</v>
      </c>
    </row>
    <row r="40" spans="1:11" ht="45" x14ac:dyDescent="0.2">
      <c r="A40" s="127" t="s">
        <v>220</v>
      </c>
      <c r="B40" s="128" t="s">
        <v>242</v>
      </c>
      <c r="C40" s="131"/>
      <c r="D40" s="129"/>
      <c r="E40" s="129" t="s">
        <v>272</v>
      </c>
      <c r="F40" s="137">
        <v>2016</v>
      </c>
      <c r="G40" s="137">
        <v>2017</v>
      </c>
      <c r="H40" s="129" t="s">
        <v>273</v>
      </c>
      <c r="I40" s="129" t="s">
        <v>272</v>
      </c>
      <c r="J40" s="129" t="s">
        <v>273</v>
      </c>
      <c r="K40" s="129" t="s">
        <v>273</v>
      </c>
    </row>
    <row r="41" spans="1:11" x14ac:dyDescent="0.2">
      <c r="A41" s="127" t="s">
        <v>221</v>
      </c>
      <c r="B41" s="303" t="s">
        <v>200</v>
      </c>
      <c r="C41" s="131"/>
      <c r="D41" s="129"/>
      <c r="E41" s="129"/>
      <c r="F41" s="129"/>
      <c r="G41" s="129"/>
      <c r="H41" s="129" t="s">
        <v>273</v>
      </c>
      <c r="I41" s="129" t="s">
        <v>272</v>
      </c>
      <c r="J41" s="129" t="s">
        <v>273</v>
      </c>
      <c r="K41" s="129" t="s">
        <v>273</v>
      </c>
    </row>
    <row r="42" spans="1:11" ht="22.5" x14ac:dyDescent="0.2">
      <c r="A42" s="127" t="s">
        <v>222</v>
      </c>
      <c r="B42" s="134" t="s">
        <v>201</v>
      </c>
      <c r="C42" s="131"/>
      <c r="D42" s="129"/>
      <c r="E42" s="129"/>
      <c r="F42" s="129"/>
      <c r="G42" s="129"/>
      <c r="H42" s="129" t="s">
        <v>273</v>
      </c>
      <c r="I42" s="129" t="s">
        <v>272</v>
      </c>
      <c r="J42" s="129" t="s">
        <v>273</v>
      </c>
      <c r="K42" s="129" t="s">
        <v>273</v>
      </c>
    </row>
    <row r="43" spans="1:11" ht="22.5" x14ac:dyDescent="0.2">
      <c r="A43" s="127" t="s">
        <v>223</v>
      </c>
      <c r="B43" s="302" t="s">
        <v>173</v>
      </c>
      <c r="C43" s="136">
        <v>0.69599999999999995</v>
      </c>
      <c r="D43" s="129"/>
      <c r="E43" s="129"/>
      <c r="F43" s="137">
        <v>2016</v>
      </c>
      <c r="G43" s="137">
        <v>2017</v>
      </c>
      <c r="H43" s="129" t="s">
        <v>273</v>
      </c>
      <c r="I43" s="129" t="s">
        <v>272</v>
      </c>
      <c r="J43" s="129" t="s">
        <v>273</v>
      </c>
      <c r="K43" s="129" t="s">
        <v>273</v>
      </c>
    </row>
    <row r="44" spans="1:11" x14ac:dyDescent="0.2">
      <c r="A44" s="138" t="s">
        <v>17</v>
      </c>
      <c r="B44" s="121" t="s">
        <v>21</v>
      </c>
      <c r="C44" s="135"/>
      <c r="D44" s="123"/>
      <c r="E44" s="123"/>
      <c r="F44" s="123"/>
      <c r="G44" s="123"/>
      <c r="H44" s="123"/>
      <c r="I44" s="124"/>
      <c r="J44" s="124"/>
      <c r="K44" s="124"/>
    </row>
    <row r="45" spans="1:11" ht="21" x14ac:dyDescent="0.2">
      <c r="A45" s="138" t="s">
        <v>33</v>
      </c>
      <c r="B45" s="121" t="s">
        <v>15</v>
      </c>
      <c r="C45" s="135"/>
      <c r="D45" s="123"/>
      <c r="E45" s="123"/>
      <c r="F45" s="123"/>
      <c r="G45" s="123"/>
      <c r="H45" s="123"/>
      <c r="I45" s="124"/>
      <c r="J45" s="124"/>
      <c r="K45" s="124"/>
    </row>
    <row r="46" spans="1:11" x14ac:dyDescent="0.2">
      <c r="A46" s="138" t="s">
        <v>34</v>
      </c>
      <c r="B46" s="121" t="s">
        <v>22</v>
      </c>
      <c r="C46" s="135"/>
      <c r="D46" s="123"/>
      <c r="E46" s="123"/>
      <c r="F46" s="123"/>
      <c r="G46" s="123"/>
      <c r="H46" s="123"/>
      <c r="I46" s="124"/>
      <c r="J46" s="124"/>
      <c r="K46" s="124"/>
    </row>
    <row r="47" spans="1:11" ht="67.5" x14ac:dyDescent="0.2">
      <c r="A47" s="127" t="s">
        <v>224</v>
      </c>
      <c r="B47" s="139" t="s">
        <v>189</v>
      </c>
      <c r="C47" s="136">
        <v>17.664000000000001</v>
      </c>
      <c r="D47" s="129"/>
      <c r="E47" s="129"/>
      <c r="F47" s="137">
        <v>2014</v>
      </c>
      <c r="G47" s="137">
        <v>2018</v>
      </c>
      <c r="H47" s="129" t="s">
        <v>273</v>
      </c>
      <c r="I47" s="129" t="s">
        <v>272</v>
      </c>
      <c r="J47" s="129" t="s">
        <v>273</v>
      </c>
      <c r="K47" s="129" t="s">
        <v>273</v>
      </c>
    </row>
    <row r="48" spans="1:11" ht="56.25" x14ac:dyDescent="0.2">
      <c r="A48" s="127" t="s">
        <v>225</v>
      </c>
      <c r="B48" s="288" t="s">
        <v>274</v>
      </c>
      <c r="C48" s="136">
        <v>14.32</v>
      </c>
      <c r="D48" s="129"/>
      <c r="E48" s="129"/>
      <c r="F48" s="137">
        <v>2015</v>
      </c>
      <c r="G48" s="137">
        <v>2018</v>
      </c>
      <c r="H48" s="129" t="s">
        <v>273</v>
      </c>
      <c r="I48" s="129" t="s">
        <v>272</v>
      </c>
      <c r="J48" s="129" t="s">
        <v>273</v>
      </c>
      <c r="K48" s="129" t="s">
        <v>273</v>
      </c>
    </row>
    <row r="49" spans="1:11" ht="56.25" x14ac:dyDescent="0.2">
      <c r="A49" s="127" t="s">
        <v>226</v>
      </c>
      <c r="B49" s="288" t="s">
        <v>275</v>
      </c>
      <c r="C49" s="136">
        <v>10.84</v>
      </c>
      <c r="D49" s="129"/>
      <c r="E49" s="129"/>
      <c r="F49" s="137">
        <v>2015</v>
      </c>
      <c r="G49" s="137">
        <v>2018</v>
      </c>
      <c r="H49" s="129" t="s">
        <v>273</v>
      </c>
      <c r="I49" s="129" t="s">
        <v>272</v>
      </c>
      <c r="J49" s="129" t="s">
        <v>273</v>
      </c>
      <c r="K49" s="129" t="s">
        <v>273</v>
      </c>
    </row>
    <row r="50" spans="1:11" ht="45" x14ac:dyDescent="0.2">
      <c r="A50" s="127" t="s">
        <v>227</v>
      </c>
      <c r="B50" s="288" t="s">
        <v>276</v>
      </c>
      <c r="C50" s="136">
        <v>9.6</v>
      </c>
      <c r="D50" s="129"/>
      <c r="E50" s="129"/>
      <c r="F50" s="137">
        <v>2015</v>
      </c>
      <c r="G50" s="137">
        <v>2018</v>
      </c>
      <c r="H50" s="129" t="s">
        <v>273</v>
      </c>
      <c r="I50" s="129" t="s">
        <v>272</v>
      </c>
      <c r="J50" s="129" t="s">
        <v>273</v>
      </c>
      <c r="K50" s="129" t="s">
        <v>273</v>
      </c>
    </row>
    <row r="51" spans="1:11" ht="45" x14ac:dyDescent="0.2">
      <c r="A51" s="127" t="s">
        <v>228</v>
      </c>
      <c r="B51" s="134" t="s">
        <v>198</v>
      </c>
      <c r="C51" s="136">
        <v>8.5</v>
      </c>
      <c r="D51" s="129"/>
      <c r="E51" s="129"/>
      <c r="F51" s="137">
        <v>2013</v>
      </c>
      <c r="G51" s="137">
        <v>2017</v>
      </c>
      <c r="H51" s="129" t="s">
        <v>273</v>
      </c>
      <c r="I51" s="129" t="s">
        <v>272</v>
      </c>
      <c r="J51" s="129" t="s">
        <v>273</v>
      </c>
      <c r="K51" s="129" t="s">
        <v>273</v>
      </c>
    </row>
    <row r="52" spans="1:11" ht="45" x14ac:dyDescent="0.2">
      <c r="A52" s="127" t="s">
        <v>229</v>
      </c>
      <c r="B52" s="140" t="s">
        <v>306</v>
      </c>
      <c r="C52" s="136">
        <v>1.593</v>
      </c>
      <c r="D52" s="129"/>
      <c r="E52" s="129"/>
      <c r="F52" s="137">
        <v>2014</v>
      </c>
      <c r="G52" s="137">
        <v>2017</v>
      </c>
      <c r="H52" s="129" t="s">
        <v>273</v>
      </c>
      <c r="I52" s="129" t="s">
        <v>272</v>
      </c>
      <c r="J52" s="129" t="s">
        <v>273</v>
      </c>
      <c r="K52" s="129" t="s">
        <v>273</v>
      </c>
    </row>
    <row r="53" spans="1:11" ht="45" x14ac:dyDescent="0.2">
      <c r="A53" s="127" t="s">
        <v>230</v>
      </c>
      <c r="B53" s="128" t="s">
        <v>282</v>
      </c>
      <c r="C53" s="136">
        <v>2.21</v>
      </c>
      <c r="D53" s="129"/>
      <c r="E53" s="129"/>
      <c r="F53" s="137">
        <v>2013</v>
      </c>
      <c r="G53" s="137">
        <v>2017</v>
      </c>
      <c r="H53" s="129" t="s">
        <v>273</v>
      </c>
      <c r="I53" s="129" t="s">
        <v>272</v>
      </c>
      <c r="J53" s="129" t="s">
        <v>273</v>
      </c>
      <c r="K53" s="129" t="s">
        <v>273</v>
      </c>
    </row>
    <row r="54" spans="1:11" ht="33.75" x14ac:dyDescent="0.2">
      <c r="A54" s="127" t="s">
        <v>231</v>
      </c>
      <c r="B54" s="128" t="s">
        <v>283</v>
      </c>
      <c r="C54" s="131"/>
      <c r="D54" s="129"/>
      <c r="E54" s="136">
        <v>0.24</v>
      </c>
      <c r="F54" s="137">
        <v>2016</v>
      </c>
      <c r="G54" s="137">
        <v>2017</v>
      </c>
      <c r="H54" s="129" t="s">
        <v>273</v>
      </c>
      <c r="I54" s="129" t="s">
        <v>272</v>
      </c>
      <c r="J54" s="129" t="s">
        <v>273</v>
      </c>
      <c r="K54" s="129" t="s">
        <v>273</v>
      </c>
    </row>
    <row r="55" spans="1:11" ht="33.75" x14ac:dyDescent="0.2">
      <c r="A55" s="127" t="s">
        <v>232</v>
      </c>
      <c r="B55" s="128" t="s">
        <v>284</v>
      </c>
      <c r="C55" s="131"/>
      <c r="D55" s="129"/>
      <c r="E55" s="136">
        <v>0.115</v>
      </c>
      <c r="F55" s="137">
        <v>2016</v>
      </c>
      <c r="G55" s="137">
        <v>2017</v>
      </c>
      <c r="H55" s="129" t="s">
        <v>273</v>
      </c>
      <c r="I55" s="129" t="s">
        <v>272</v>
      </c>
      <c r="J55" s="129" t="s">
        <v>273</v>
      </c>
      <c r="K55" s="129" t="s">
        <v>273</v>
      </c>
    </row>
    <row r="56" spans="1:11" ht="33.75" x14ac:dyDescent="0.2">
      <c r="A56" s="127" t="s">
        <v>233</v>
      </c>
      <c r="B56" s="141" t="s">
        <v>285</v>
      </c>
      <c r="C56" s="131"/>
      <c r="D56" s="129"/>
      <c r="E56" s="136">
        <v>0.6</v>
      </c>
      <c r="F56" s="137">
        <v>2016</v>
      </c>
      <c r="G56" s="137">
        <v>2017</v>
      </c>
      <c r="H56" s="129" t="s">
        <v>273</v>
      </c>
      <c r="I56" s="129" t="s">
        <v>272</v>
      </c>
      <c r="J56" s="129" t="s">
        <v>273</v>
      </c>
      <c r="K56" s="129" t="s">
        <v>273</v>
      </c>
    </row>
    <row r="57" spans="1:11" ht="22.5" x14ac:dyDescent="0.2">
      <c r="A57" s="127" t="s">
        <v>234</v>
      </c>
      <c r="B57" s="128" t="s">
        <v>177</v>
      </c>
      <c r="C57" s="131"/>
      <c r="D57" s="129"/>
      <c r="E57" s="129">
        <v>6.7000000000000004E-2</v>
      </c>
      <c r="F57" s="137">
        <v>2016</v>
      </c>
      <c r="G57" s="129">
        <v>2017</v>
      </c>
      <c r="H57" s="129" t="s">
        <v>273</v>
      </c>
      <c r="I57" s="129" t="s">
        <v>272</v>
      </c>
      <c r="J57" s="129" t="s">
        <v>273</v>
      </c>
      <c r="K57" s="129" t="s">
        <v>273</v>
      </c>
    </row>
    <row r="58" spans="1:11" ht="33.75" x14ac:dyDescent="0.2">
      <c r="A58" s="127" t="s">
        <v>235</v>
      </c>
      <c r="B58" s="141" t="s">
        <v>286</v>
      </c>
      <c r="C58" s="131"/>
      <c r="D58" s="129"/>
      <c r="E58" s="136">
        <v>0.315</v>
      </c>
      <c r="F58" s="137">
        <v>2016</v>
      </c>
      <c r="G58" s="137">
        <v>2017</v>
      </c>
      <c r="H58" s="129" t="s">
        <v>273</v>
      </c>
      <c r="I58" s="129" t="s">
        <v>272</v>
      </c>
      <c r="J58" s="129" t="s">
        <v>273</v>
      </c>
      <c r="K58" s="129" t="s">
        <v>273</v>
      </c>
    </row>
    <row r="59" spans="1:11" ht="33.75" x14ac:dyDescent="0.2">
      <c r="A59" s="127" t="s">
        <v>236</v>
      </c>
      <c r="B59" s="128" t="s">
        <v>287</v>
      </c>
      <c r="C59" s="131"/>
      <c r="D59" s="129"/>
      <c r="E59" s="136">
        <v>0.15</v>
      </c>
      <c r="F59" s="137">
        <v>2016</v>
      </c>
      <c r="G59" s="137">
        <v>2017</v>
      </c>
      <c r="H59" s="129" t="s">
        <v>273</v>
      </c>
      <c r="I59" s="129" t="s">
        <v>272</v>
      </c>
      <c r="J59" s="129" t="s">
        <v>273</v>
      </c>
      <c r="K59" s="129" t="s">
        <v>273</v>
      </c>
    </row>
    <row r="60" spans="1:11" ht="33.75" x14ac:dyDescent="0.2">
      <c r="A60" s="127" t="s">
        <v>237</v>
      </c>
      <c r="B60" s="128" t="s">
        <v>292</v>
      </c>
      <c r="C60" s="131"/>
      <c r="D60" s="129"/>
      <c r="E60" s="136">
        <v>0.28599999999999998</v>
      </c>
      <c r="F60" s="137">
        <v>2016</v>
      </c>
      <c r="G60" s="137">
        <v>2017</v>
      </c>
      <c r="H60" s="129" t="s">
        <v>273</v>
      </c>
      <c r="I60" s="129" t="s">
        <v>272</v>
      </c>
      <c r="J60" s="129" t="s">
        <v>273</v>
      </c>
      <c r="K60" s="129" t="s">
        <v>273</v>
      </c>
    </row>
    <row r="61" spans="1:11" ht="22.5" x14ac:dyDescent="0.2">
      <c r="A61" s="127" t="s">
        <v>238</v>
      </c>
      <c r="B61" s="128" t="s">
        <v>165</v>
      </c>
      <c r="C61" s="136">
        <v>18.545000000000002</v>
      </c>
      <c r="D61" s="129"/>
      <c r="E61" s="129"/>
      <c r="F61" s="137">
        <v>2013</v>
      </c>
      <c r="G61" s="137">
        <v>2017</v>
      </c>
      <c r="H61" s="129" t="s">
        <v>273</v>
      </c>
      <c r="I61" s="129" t="s">
        <v>272</v>
      </c>
      <c r="J61" s="129" t="s">
        <v>273</v>
      </c>
      <c r="K61" s="129" t="s">
        <v>273</v>
      </c>
    </row>
    <row r="62" spans="1:11" ht="33.75" x14ac:dyDescent="0.2">
      <c r="A62" s="127" t="s">
        <v>239</v>
      </c>
      <c r="B62" s="128" t="s">
        <v>153</v>
      </c>
      <c r="C62" s="136">
        <v>6.1950000000000003</v>
      </c>
      <c r="D62" s="129"/>
      <c r="E62" s="129"/>
      <c r="F62" s="137">
        <v>2015</v>
      </c>
      <c r="G62" s="137">
        <v>2019</v>
      </c>
      <c r="H62" s="129" t="s">
        <v>273</v>
      </c>
      <c r="I62" s="129" t="s">
        <v>272</v>
      </c>
      <c r="J62" s="129" t="s">
        <v>273</v>
      </c>
      <c r="K62" s="129" t="s">
        <v>273</v>
      </c>
    </row>
    <row r="63" spans="1:11" ht="45" x14ac:dyDescent="0.2">
      <c r="A63" s="127" t="s">
        <v>240</v>
      </c>
      <c r="B63" s="128" t="s">
        <v>288</v>
      </c>
      <c r="C63" s="136">
        <v>3.9510000000000001</v>
      </c>
      <c r="D63" s="129"/>
      <c r="E63" s="129"/>
      <c r="F63" s="137">
        <v>2014</v>
      </c>
      <c r="G63" s="137">
        <v>2017</v>
      </c>
      <c r="H63" s="129" t="s">
        <v>273</v>
      </c>
      <c r="I63" s="129" t="s">
        <v>272</v>
      </c>
      <c r="J63" s="129" t="s">
        <v>273</v>
      </c>
      <c r="K63" s="129" t="s">
        <v>273</v>
      </c>
    </row>
    <row r="64" spans="1:11" ht="22.5" x14ac:dyDescent="0.2">
      <c r="A64" s="127" t="s">
        <v>241</v>
      </c>
      <c r="B64" s="134" t="s">
        <v>289</v>
      </c>
      <c r="C64" s="131"/>
      <c r="D64" s="129"/>
      <c r="E64" s="136"/>
      <c r="F64" s="137">
        <v>2018</v>
      </c>
      <c r="G64" s="137">
        <v>2018</v>
      </c>
      <c r="H64" s="129" t="s">
        <v>272</v>
      </c>
      <c r="I64" s="129" t="s">
        <v>272</v>
      </c>
      <c r="J64" s="129" t="s">
        <v>272</v>
      </c>
      <c r="K64" s="129" t="s">
        <v>272</v>
      </c>
    </row>
    <row r="65" spans="1:16" x14ac:dyDescent="0.2">
      <c r="A65" s="142">
        <v>3</v>
      </c>
      <c r="B65" s="143" t="s">
        <v>154</v>
      </c>
      <c r="C65" s="185"/>
      <c r="D65" s="186"/>
      <c r="E65" s="186"/>
      <c r="F65" s="186">
        <v>2016</v>
      </c>
      <c r="G65" s="186">
        <v>2019</v>
      </c>
      <c r="H65" s="186"/>
      <c r="I65" s="185"/>
      <c r="J65" s="185"/>
      <c r="K65" s="185"/>
    </row>
    <row r="70" spans="1:16" ht="15.6" customHeight="1" x14ac:dyDescent="0.2">
      <c r="B70" s="402" t="s">
        <v>319</v>
      </c>
      <c r="C70" s="402"/>
      <c r="D70" s="402"/>
      <c r="E70" s="402"/>
      <c r="F70" s="402"/>
      <c r="G70" s="197"/>
      <c r="H70" s="193" t="s">
        <v>320</v>
      </c>
      <c r="I70" s="187"/>
      <c r="J70" s="187"/>
      <c r="L70" s="187"/>
      <c r="M70" s="187"/>
      <c r="N70" s="187"/>
      <c r="O70" s="187"/>
      <c r="P70" s="187"/>
    </row>
    <row r="71" spans="1:16" ht="15.6" customHeight="1" x14ac:dyDescent="0.2">
      <c r="B71" s="197"/>
      <c r="C71" s="197"/>
      <c r="D71" s="197"/>
      <c r="E71" s="197"/>
      <c r="F71" s="197"/>
      <c r="G71" s="197"/>
      <c r="H71" s="193"/>
      <c r="I71" s="187"/>
      <c r="J71" s="187"/>
      <c r="L71" s="187"/>
      <c r="M71" s="187"/>
      <c r="N71" s="187"/>
      <c r="O71" s="187"/>
      <c r="P71" s="187"/>
    </row>
    <row r="72" spans="1:16" ht="15.75" x14ac:dyDescent="0.2">
      <c r="B72" s="194"/>
      <c r="C72" s="195"/>
      <c r="D72" s="195"/>
      <c r="E72" s="195"/>
      <c r="F72" s="195"/>
      <c r="G72" s="195"/>
      <c r="H72" s="196"/>
      <c r="I72" s="187"/>
      <c r="J72" s="187"/>
      <c r="K72" s="187"/>
      <c r="L72" s="188"/>
      <c r="M72" s="188"/>
      <c r="N72" s="188"/>
      <c r="O72" s="188"/>
      <c r="P72" s="189"/>
    </row>
    <row r="73" spans="1:16" ht="15.75" x14ac:dyDescent="0.2">
      <c r="B73" s="194" t="s">
        <v>308</v>
      </c>
      <c r="C73" s="194"/>
      <c r="D73" s="194"/>
      <c r="E73" s="194"/>
      <c r="F73" s="194"/>
      <c r="G73" s="194"/>
      <c r="H73" s="193" t="s">
        <v>309</v>
      </c>
      <c r="I73" s="187"/>
      <c r="J73" s="187"/>
      <c r="L73" s="187"/>
      <c r="M73" s="187"/>
      <c r="N73" s="187"/>
      <c r="O73" s="187"/>
      <c r="P73" s="187"/>
    </row>
    <row r="74" spans="1:16" ht="15.75" x14ac:dyDescent="0.2">
      <c r="B74" s="190"/>
      <c r="C74" s="187"/>
      <c r="D74" s="85"/>
      <c r="E74" s="191"/>
      <c r="F74" s="187"/>
      <c r="G74" s="192"/>
      <c r="H74" s="187"/>
      <c r="I74" s="187"/>
      <c r="J74" s="187"/>
      <c r="K74" s="187"/>
      <c r="L74" s="187"/>
      <c r="M74" s="187"/>
      <c r="N74" s="187"/>
      <c r="O74" s="187"/>
      <c r="P74" s="187"/>
    </row>
    <row r="75" spans="1:16" ht="15" x14ac:dyDescent="0.2">
      <c r="B75" s="67"/>
      <c r="C75" s="82"/>
      <c r="D75" s="82"/>
      <c r="E75" s="82"/>
      <c r="F75" s="82"/>
      <c r="G75" s="82"/>
      <c r="H75" s="39"/>
      <c r="I75" s="82"/>
      <c r="J75" s="82"/>
      <c r="K75" s="82"/>
      <c r="L75" s="82"/>
      <c r="M75" s="82"/>
      <c r="N75" s="39"/>
      <c r="O75" s="82"/>
      <c r="P75" s="82"/>
    </row>
  </sheetData>
  <mergeCells count="10">
    <mergeCell ref="B70:F70"/>
    <mergeCell ref="A5:K5"/>
    <mergeCell ref="I10:K10"/>
    <mergeCell ref="H12:K12"/>
    <mergeCell ref="A15:A16"/>
    <mergeCell ref="B15:B16"/>
    <mergeCell ref="C15:E15"/>
    <mergeCell ref="F15:G15"/>
    <mergeCell ref="H15:K15"/>
    <mergeCell ref="H8:K8"/>
  </mergeCells>
  <pageMargins left="0.70866141732283472" right="0.70866141732283472" top="1.3385826771653544" bottom="0.74803149606299213" header="0.70866141732283472" footer="0.31496062992125984"/>
  <pageSetup paperSize="9" scale="74" fitToHeight="6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прил. 7.1</vt:lpstr>
      <vt:lpstr>прил. 7.2</vt:lpstr>
      <vt:lpstr>Прил. 8.</vt:lpstr>
      <vt:lpstr>прил. 9</vt:lpstr>
      <vt:lpstr>Прил. 12</vt:lpstr>
      <vt:lpstr>Прил. 13</vt:lpstr>
      <vt:lpstr>'Прил. 13'!Заголовки_для_печати</vt:lpstr>
      <vt:lpstr>'прил. 7.1'!Заголовки_для_печати</vt:lpstr>
      <vt:lpstr>'прил. 7.2'!Заголовки_для_печати</vt:lpstr>
      <vt:lpstr>'прил. 9'!Заголовки_для_печати</vt:lpstr>
      <vt:lpstr>'прил. 7.1'!Область_печати</vt:lpstr>
      <vt:lpstr>'прил. 7.2'!Область_печати</vt:lpstr>
      <vt:lpstr>'Прил. 8.'!Область_печати</vt:lpstr>
      <vt:lpstr>'прил. 9'!Область_печати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Алексей В. Чеша</cp:lastModifiedBy>
  <cp:lastPrinted>2018-02-02T04:54:36Z</cp:lastPrinted>
  <dcterms:created xsi:type="dcterms:W3CDTF">2010-07-13T07:14:44Z</dcterms:created>
  <dcterms:modified xsi:type="dcterms:W3CDTF">2018-02-14T23:23:37Z</dcterms:modified>
</cp:coreProperties>
</file>