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comments51.xml" ContentType="application/vnd.openxmlformats-officedocument.spreadsheetml.comments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90" windowHeight="6390" tabRatio="909" firstSheet="5" activeTab="5"/>
  </bookViews>
  <sheets>
    <sheet name="приложение 1.4" sheetId="1" state="hidden" r:id="rId1"/>
    <sheet name="5" sheetId="2" state="hidden" r:id="rId2"/>
    <sheet name="6.1" sheetId="3" state="hidden" r:id="rId3"/>
    <sheet name="6.2" sheetId="4" state="hidden" r:id="rId4"/>
    <sheet name="6.3" sheetId="5" state="hidden" r:id="rId5"/>
    <sheet name="7.1" sheetId="6" r:id="rId6"/>
    <sheet name="7.2" sheetId="7" r:id="rId7"/>
    <sheet name="8" sheetId="8" r:id="rId8"/>
    <sheet name="Возврат НДС" sheetId="9" r:id="rId9"/>
    <sheet name="9" sheetId="10" r:id="rId10"/>
    <sheet name="10 (ДЭС с.Усть-Хайрюзово)" sheetId="11" r:id="rId11"/>
    <sheet name="10 (ДЭС п. Таёжный)" sheetId="12" r:id="rId12"/>
    <sheet name="10 (Тиличики МДЭС-8)" sheetId="13" r:id="rId13"/>
    <sheet name="10 (ДЭС с.Средние Пахачи)" sheetId="14" r:id="rId14"/>
    <sheet name="10 (ТП-2 с. Хаилино)" sheetId="15" r:id="rId15"/>
    <sheet name="10 (ТП-1 с. Хаилино) " sheetId="16" r:id="rId16"/>
    <sheet name="10 Снегоход Ильпырское" sheetId="17" r:id="rId17"/>
    <sheet name="10 Снегоход Тымлат" sheetId="18" r:id="rId18"/>
    <sheet name="10 УАЗ-29891 с.Пахачи" sheetId="19" r:id="rId19"/>
    <sheet name="10 УАЗ п.Таежный" sheetId="20" r:id="rId20"/>
    <sheet name="10 Fuso Canter АУП" sheetId="21" r:id="rId21"/>
    <sheet name="10 Автокран Усть-Хайрюзово" sheetId="22" r:id="rId22"/>
    <sheet name="10 Снегоболотоход Тымлат" sheetId="23" r:id="rId23"/>
    <sheet name="10 (ДЭС с.Пахачи) " sheetId="24" r:id="rId24"/>
    <sheet name="10 (ГСМ склад с.Вывенка)" sheetId="25" r:id="rId25"/>
    <sheet name="10 (ГСМ склад с.Тиличики)" sheetId="26" r:id="rId26"/>
    <sheet name="10 (ГСМ склад с. Средние Пахач)" sheetId="27" r:id="rId27"/>
    <sheet name="10 (ГСМ склад с.Ковран)" sheetId="28" r:id="rId28"/>
    <sheet name="11.1 (ДЭС-5 с.УХ)" sheetId="29" r:id="rId29"/>
    <sheet name="11.1 (ДЭС п. Таёжный)" sheetId="30" r:id="rId30"/>
    <sheet name="11.1 (МДЭС-8 с. Тиличики) " sheetId="31" r:id="rId31"/>
    <sheet name="11.1 (ДЭС СрПах)" sheetId="32" r:id="rId32"/>
    <sheet name="11.1. (ТП-2 Хаилино)" sheetId="33" r:id="rId33"/>
    <sheet name="11.1. (ТП-1 Хаилино)" sheetId="34" r:id="rId34"/>
    <sheet name="11.1 (ДЭС с.Пахачи) " sheetId="35" r:id="rId35"/>
    <sheet name="11.1 (ГСМ склад с.Вывенка)" sheetId="36" r:id="rId36"/>
    <sheet name="11.1 (ГСМ склад с.Тиличики)" sheetId="37" r:id="rId37"/>
    <sheet name="11.1 (ГСМ склад с. Ср.Пахачи) " sheetId="38" r:id="rId38"/>
    <sheet name="11.1 (ГСМ склад с.Ковран)  " sheetId="39" r:id="rId39"/>
    <sheet name="11.2 (ДЭС-5 с. УХ)" sheetId="40" r:id="rId40"/>
    <sheet name="11.2 (ДЭС п. Таёжный)" sheetId="41" r:id="rId41"/>
    <sheet name="11.2 (МДЭС-8 с. Тиличики) " sheetId="42" r:id="rId42"/>
    <sheet name="11.2 (ДЭС СрПах)" sheetId="43" r:id="rId43"/>
    <sheet name="11.2 (ТП-2 Хаилино)" sheetId="44" r:id="rId44"/>
    <sheet name="11.2 (ТП-1 Хаилино)" sheetId="45" r:id="rId45"/>
    <sheet name="11.2 (ДЭС с. Пахачи) " sheetId="46" r:id="rId46"/>
    <sheet name="11.2 (Склад ГСМ с.Вывенка)" sheetId="47" r:id="rId47"/>
    <sheet name="11.2 (Склад ГСМ с.Тиличики)" sheetId="48" r:id="rId48"/>
    <sheet name="11.2 (Склад ГСМ с. Ср. Пахачи)" sheetId="49" r:id="rId49"/>
    <sheet name="11.2 (Склад ГСМ с.Ковран)" sheetId="50" r:id="rId50"/>
    <sheet name="12" sheetId="51" r:id="rId51"/>
    <sheet name="13" sheetId="52" r:id="rId52"/>
    <sheet name="ФОТ" sheetId="53" state="hidden" r:id="rId53"/>
    <sheet name="Лист1" sheetId="54" state="hidden" r:id="rId54"/>
  </sheets>
  <externalReferences>
    <externalReference r:id="rId57"/>
    <externalReference r:id="rId58"/>
    <externalReference r:id="rId59"/>
    <externalReference r:id="rId60"/>
    <externalReference r:id="rId61"/>
  </externalReferences>
  <definedNames>
    <definedName name="_xlnm.Print_Titles" localSheetId="1">'5'!$14:$16</definedName>
    <definedName name="_xlnm.Print_Area" localSheetId="26">'10 (ГСМ склад с. Средние Пахач)'!$A$1:$B$100</definedName>
    <definedName name="_xlnm.Print_Area" localSheetId="24">'10 (ГСМ склад с.Вывенка)'!$A$1:$B$100</definedName>
    <definedName name="_xlnm.Print_Area" localSheetId="27">'10 (ГСМ склад с.Ковран)'!$A$1:$B$100</definedName>
    <definedName name="_xlnm.Print_Area" localSheetId="25">'10 (ГСМ склад с.Тиличики)'!$A$1:$B$100</definedName>
    <definedName name="_xlnm.Print_Area" localSheetId="11">'10 (ДЭС п. Таёжный)'!$A$1:$B$100</definedName>
    <definedName name="_xlnm.Print_Area" localSheetId="23">'10 (ДЭС с.Пахачи) '!$A$1:$B$100</definedName>
    <definedName name="_xlnm.Print_Area" localSheetId="13">'10 (ДЭС с.Средние Пахачи)'!$A$1:$B$105</definedName>
    <definedName name="_xlnm.Print_Area" localSheetId="10">'10 (ДЭС с.Усть-Хайрюзово)'!$A$1:$B$100</definedName>
    <definedName name="_xlnm.Print_Area" localSheetId="12">'10 (Тиличики МДЭС-8)'!$A$1:$B$105</definedName>
    <definedName name="_xlnm.Print_Area" localSheetId="15">'10 (ТП-1 с. Хаилино) '!$A$1:$B$100</definedName>
    <definedName name="_xlnm.Print_Area" localSheetId="14">'10 (ТП-2 с. Хаилино)'!$A$1:$B$100</definedName>
    <definedName name="_xlnm.Print_Area" localSheetId="20">'10 Fuso Canter АУП'!$A$1:$B$100</definedName>
    <definedName name="_xlnm.Print_Area" localSheetId="21">'10 Автокран Усть-Хайрюзово'!$A$1:$B$100</definedName>
    <definedName name="_xlnm.Print_Area" localSheetId="22">'10 Снегоболотоход Тымлат'!$A$1:$B$100</definedName>
    <definedName name="_xlnm.Print_Area" localSheetId="16">'10 Снегоход Ильпырское'!$A$1:$B$100</definedName>
    <definedName name="_xlnm.Print_Area" localSheetId="17">'10 Снегоход Тымлат'!$A$1:$B$100</definedName>
    <definedName name="_xlnm.Print_Area" localSheetId="19">'10 УАЗ п.Таежный'!$A$1:$B$100</definedName>
    <definedName name="_xlnm.Print_Area" localSheetId="18">'10 УАЗ-29891 с.Пахачи'!$A$1:$B$100</definedName>
    <definedName name="_xlnm.Print_Area" localSheetId="37">'11.1 (ГСМ склад с. Ср.Пахачи) '!$A$1:$N$36</definedName>
    <definedName name="_xlnm.Print_Area" localSheetId="35">'11.1 (ГСМ склад с.Вывенка)'!$A$1:$N$36</definedName>
    <definedName name="_xlnm.Print_Area" localSheetId="38">'11.1 (ГСМ склад с.Ковран)  '!$A$1:$N$40</definedName>
    <definedName name="_xlnm.Print_Area" localSheetId="36">'11.1 (ГСМ склад с.Тиличики)'!$A$1:$N$36</definedName>
    <definedName name="_xlnm.Print_Area" localSheetId="29">'11.1 (ДЭС п. Таёжный)'!$A$1:$N$31</definedName>
    <definedName name="_xlnm.Print_Area" localSheetId="34">'11.1 (ДЭС с.Пахачи) '!$A$1:$N$41</definedName>
    <definedName name="_xlnm.Print_Area" localSheetId="31">'11.1 (ДЭС СрПах)'!$A$1:$N$31</definedName>
    <definedName name="_xlnm.Print_Area" localSheetId="28">'11.1 (ДЭС-5 с.УХ)'!$A$1:$N$37</definedName>
    <definedName name="_xlnm.Print_Area" localSheetId="30">'11.1 (МДЭС-8 с. Тиличики) '!$A$1:$N$31</definedName>
    <definedName name="_xlnm.Print_Area" localSheetId="33">'11.1. (ТП-1 Хаилино)'!$A$1:$N$30</definedName>
    <definedName name="_xlnm.Print_Area" localSheetId="32">'11.1. (ТП-2 Хаилино)'!$A$1:$N$30</definedName>
    <definedName name="_xlnm.Print_Area" localSheetId="40">'11.2 (ДЭС п. Таёжный)'!$A$1:$C$38</definedName>
    <definedName name="_xlnm.Print_Area" localSheetId="45">'11.2 (ДЭС с. Пахачи) '!$A$1:$C$39</definedName>
    <definedName name="_xlnm.Print_Area" localSheetId="42">'11.2 (ДЭС СрПах)'!$A$1:$C$37</definedName>
    <definedName name="_xlnm.Print_Area" localSheetId="39">'11.2 (ДЭС-5 с. УХ)'!$A$1:$C$39</definedName>
    <definedName name="_xlnm.Print_Area" localSheetId="41">'11.2 (МДЭС-8 с. Тиличики) '!$A$1:$C$38</definedName>
    <definedName name="_xlnm.Print_Area" localSheetId="48">'11.2 (Склад ГСМ с. Ср. Пахачи)'!$A$1:$C$35</definedName>
    <definedName name="_xlnm.Print_Area" localSheetId="46">'11.2 (Склад ГСМ с.Вывенка)'!$A$1:$C$39</definedName>
    <definedName name="_xlnm.Print_Area" localSheetId="49">'11.2 (Склад ГСМ с.Ковран)'!$A$1:$C$39</definedName>
    <definedName name="_xlnm.Print_Area" localSheetId="47">'11.2 (Склад ГСМ с.Тиличики)'!$A$1:$C$39</definedName>
    <definedName name="_xlnm.Print_Area" localSheetId="44">'11.2 (ТП-1 Хаилино)'!$A$1:$C$37</definedName>
    <definedName name="_xlnm.Print_Area" localSheetId="43">'11.2 (ТП-2 Хаилино)'!$A$1:$C$37</definedName>
    <definedName name="_xlnm.Print_Area" localSheetId="50">'12'!$A$1:$C$55</definedName>
    <definedName name="_xlnm.Print_Area" localSheetId="51">'13'!$A$1:$K$29</definedName>
    <definedName name="_xlnm.Print_Area" localSheetId="1">'5'!$A$1:$F$89</definedName>
    <definedName name="_xlnm.Print_Area" localSheetId="2">'6.1'!$A$1:$M$35</definedName>
    <definedName name="_xlnm.Print_Area" localSheetId="3">'6.2'!$A$1:$E$49</definedName>
    <definedName name="_xlnm.Print_Area" localSheetId="4">'6.3'!$A$1:$F$23</definedName>
    <definedName name="_xlnm.Print_Area" localSheetId="5">'7.1'!$A$1:$W$61</definedName>
    <definedName name="_xlnm.Print_Area" localSheetId="6">'7.2'!$A$1:$AJ$57</definedName>
    <definedName name="_xlnm.Print_Area" localSheetId="7">'8'!$A$1:$M$52</definedName>
    <definedName name="_xlnm.Print_Area" localSheetId="9">'9'!$A$1:$V$40</definedName>
    <definedName name="_xlnm.Print_Area" localSheetId="8">'Возврат НДС'!$A$1:$J$21</definedName>
    <definedName name="_xlnm.Print_Area" localSheetId="52">'ФОТ'!$A$1:$G$54</definedName>
  </definedNames>
  <calcPr fullCalcOnLoad="1"/>
</workbook>
</file>

<file path=xl/comments51.xml><?xml version="1.0" encoding="utf-8"?>
<comments xmlns="http://schemas.openxmlformats.org/spreadsheetml/2006/main">
  <authors>
    <author>Корякэнерго</author>
    <author>fin2</author>
  </authors>
  <commentList>
    <comment ref="B26" authorId="0">
      <text>
        <r>
          <rPr>
            <b/>
            <sz val="8"/>
            <rFont val="Tahoma"/>
            <family val="2"/>
          </rPr>
          <t>Корякэнерго:</t>
        </r>
        <r>
          <rPr>
            <sz val="8"/>
            <rFont val="Tahoma"/>
            <family val="2"/>
          </rPr>
          <t xml:space="preserve">
По данным ОС (в целом по АО "Корякэнерго")</t>
        </r>
      </text>
    </comment>
    <comment ref="B28" authorId="1">
      <text>
        <r>
          <rPr>
            <b/>
            <sz val="8"/>
            <rFont val="Tahoma"/>
            <family val="2"/>
          </rPr>
          <t>fin2:</t>
        </r>
        <r>
          <rPr>
            <sz val="8"/>
            <rFont val="Tahoma"/>
            <family val="2"/>
          </rPr>
          <t xml:space="preserve">
из таблицы 8 "Итого собственные средства"</t>
        </r>
      </text>
    </comment>
    <comment ref="B29" authorId="1">
      <text>
        <r>
          <rPr>
            <b/>
            <sz val="8"/>
            <rFont val="Tahoma"/>
            <family val="2"/>
          </rPr>
          <t>fin2:</t>
        </r>
        <r>
          <rPr>
            <sz val="8"/>
            <rFont val="Tahoma"/>
            <family val="2"/>
          </rPr>
          <t xml:space="preserve">
из таблицы 8 "Привлеченные средства, кредиты"
</t>
        </r>
      </text>
    </comment>
    <comment ref="B40" authorId="1">
      <text>
        <r>
          <rPr>
            <b/>
            <sz val="8"/>
            <rFont val="Tahoma"/>
            <family val="2"/>
          </rPr>
          <t>fin2:</t>
        </r>
        <r>
          <rPr>
            <sz val="8"/>
            <rFont val="Tahoma"/>
            <family val="2"/>
          </rPr>
          <t xml:space="preserve">
из таблицы  7.1 "Проценты по кредиту"</t>
        </r>
      </text>
    </comment>
    <comment ref="B43" authorId="0">
      <text>
        <r>
          <rPr>
            <b/>
            <sz val="8"/>
            <rFont val="Tahoma"/>
            <family val="2"/>
          </rPr>
          <t>Корякэнерго:</t>
        </r>
        <r>
          <rPr>
            <sz val="8"/>
            <rFont val="Tahoma"/>
            <family val="2"/>
          </rPr>
          <t xml:space="preserve">
оплачено по факту за 2016
</t>
        </r>
      </text>
    </comment>
    <comment ref="B44" authorId="0">
      <text>
        <r>
          <rPr>
            <b/>
            <sz val="8"/>
            <rFont val="Tahoma"/>
            <family val="2"/>
          </rPr>
          <t>Корякэнерго:</t>
        </r>
        <r>
          <rPr>
            <sz val="8"/>
            <rFont val="Tahoma"/>
            <family val="2"/>
          </rPr>
          <t xml:space="preserve">
собственные соедства за 2016 год факт</t>
        </r>
      </text>
    </comment>
    <comment ref="C19" authorId="0">
      <text>
        <r>
          <rPr>
            <b/>
            <sz val="8"/>
            <rFont val="Tahoma"/>
            <family val="2"/>
          </rPr>
          <t>Корякэнерго:</t>
        </r>
        <r>
          <rPr>
            <sz val="8"/>
            <rFont val="Tahoma"/>
            <family val="2"/>
          </rPr>
          <t xml:space="preserve">
=Выручка+выпадающие доходы по данным ОС без НДС по АО "Корякэнерго" электроэнергия в целом</t>
        </r>
      </text>
    </comment>
    <comment ref="C20" authorId="0">
      <text>
        <r>
          <rPr>
            <b/>
            <sz val="8"/>
            <rFont val="Tahoma"/>
            <family val="2"/>
          </rPr>
          <t>Корякэнерго:</t>
        </r>
        <r>
          <rPr>
            <sz val="8"/>
            <rFont val="Tahoma"/>
            <family val="2"/>
          </rPr>
          <t xml:space="preserve">
=Выручка+выпадающие-расходы-себестоимость
 (по АО "Корякэнерго"в целом электроэнергия)
</t>
        </r>
      </text>
    </comment>
    <comment ref="C26" authorId="0">
      <text>
        <r>
          <rPr>
            <b/>
            <sz val="8"/>
            <rFont val="Tahoma"/>
            <family val="2"/>
          </rPr>
          <t>Корякэнерго:</t>
        </r>
        <r>
          <rPr>
            <sz val="8"/>
            <rFont val="Tahoma"/>
            <family val="2"/>
          </rPr>
          <t xml:space="preserve">
По данным ОС (в целом по АО "Корякэнерго")</t>
        </r>
      </text>
    </comment>
    <comment ref="C28" authorId="1">
      <text>
        <r>
          <rPr>
            <b/>
            <sz val="8"/>
            <rFont val="Tahoma"/>
            <family val="2"/>
          </rPr>
          <t>fin2:</t>
        </r>
        <r>
          <rPr>
            <sz val="8"/>
            <rFont val="Tahoma"/>
            <family val="2"/>
          </rPr>
          <t xml:space="preserve">
из таблицы 8 "Итого собственные средства"</t>
        </r>
      </text>
    </comment>
    <comment ref="C40" authorId="1">
      <text>
        <r>
          <rPr>
            <b/>
            <sz val="8"/>
            <rFont val="Tahoma"/>
            <family val="2"/>
          </rPr>
          <t>fin2:</t>
        </r>
        <r>
          <rPr>
            <sz val="8"/>
            <rFont val="Tahoma"/>
            <family val="2"/>
          </rPr>
          <t xml:space="preserve">
из таблицы  7.1 "Проценты по кредиту"</t>
        </r>
      </text>
    </comment>
    <comment ref="B42" authorId="0">
      <text>
        <r>
          <rPr>
            <b/>
            <sz val="8"/>
            <rFont val="Tahoma"/>
            <family val="2"/>
          </rPr>
          <t>Корякэнерго:</t>
        </r>
        <r>
          <rPr>
            <sz val="8"/>
            <rFont val="Tahoma"/>
            <family val="2"/>
          </rPr>
          <t xml:space="preserve">
в соответствии с утвержденной ИП на 2016-2018 г.</t>
        </r>
      </text>
    </comment>
  </commentList>
</comments>
</file>

<file path=xl/comments6.xml><?xml version="1.0" encoding="utf-8"?>
<comments xmlns="http://schemas.openxmlformats.org/spreadsheetml/2006/main">
  <authors>
    <author>Корякэнерго</author>
  </authors>
  <commentList>
    <comment ref="K20" authorId="0">
      <text>
        <r>
          <rPr>
            <b/>
            <sz val="8"/>
            <rFont val="Tahoma"/>
            <family val="2"/>
          </rPr>
          <t>Корякэнерго:</t>
        </r>
        <r>
          <rPr>
            <sz val="8"/>
            <rFont val="Tahoma"/>
            <family val="2"/>
          </rPr>
          <t xml:space="preserve">
материалы в сумме 1,35058*1,18 в инвест не включаем, пойдут на ТО</t>
        </r>
      </text>
    </comment>
    <comment ref="K37" authorId="0">
      <text>
        <r>
          <rPr>
            <b/>
            <sz val="8"/>
            <rFont val="Tahoma"/>
            <family val="2"/>
          </rPr>
          <t>Корякэнерго:</t>
        </r>
        <r>
          <rPr>
            <sz val="8"/>
            <rFont val="Tahoma"/>
            <family val="2"/>
          </rPr>
          <t xml:space="preserve">
из суммы материалов 20,551578*1,18 сумму 0,609620*1,18 в инвест не включили-пойдет на то
</t>
        </r>
      </text>
    </comment>
  </commentList>
</comments>
</file>

<file path=xl/sharedStrings.xml><?xml version="1.0" encoding="utf-8"?>
<sst xmlns="http://schemas.openxmlformats.org/spreadsheetml/2006/main" count="4092" uniqueCount="820">
  <si>
    <t>5.4.</t>
  </si>
  <si>
    <t>1.5.</t>
  </si>
  <si>
    <t>Увеличение дебиторской задолженности</t>
  </si>
  <si>
    <t>Сокращение дебиторской задолженности</t>
  </si>
  <si>
    <t xml:space="preserve">Сальдо  (+увеличение; -сокращение) </t>
  </si>
  <si>
    <t>Увеличение кредиторской задолженности</t>
  </si>
  <si>
    <t>Сокращение кредиторской задолженности</t>
  </si>
  <si>
    <t>Расходы по текущей деятельности, всего</t>
  </si>
  <si>
    <t>Платежи по аренде и лизингу</t>
  </si>
  <si>
    <t>Инфраструктурные платежи рынка</t>
  </si>
  <si>
    <t>Валовая прибыль (I р.-II р.)</t>
  </si>
  <si>
    <t>XV.</t>
  </si>
  <si>
    <t>XVI.</t>
  </si>
  <si>
    <t>XVII.</t>
  </si>
  <si>
    <t>Доходы от участия в других организациях (дивиденды от ДЗО)</t>
  </si>
  <si>
    <t>Проценты от размещения средств</t>
  </si>
  <si>
    <t>Проценты по обслуживанию кредитов</t>
  </si>
  <si>
    <t>Фонд накопления</t>
  </si>
  <si>
    <t>Резервный фонд</t>
  </si>
  <si>
    <t>Выплата дивидендов</t>
  </si>
  <si>
    <t>Прочие расходы из прибыли</t>
  </si>
  <si>
    <t>Финансирование инвестиционной программы</t>
  </si>
  <si>
    <t>Прочие цели (расшифровка)</t>
  </si>
  <si>
    <t>Инвестиционной программе</t>
  </si>
  <si>
    <t>Изменение дебиторской задолженности</t>
  </si>
  <si>
    <t>Изменение кредиторской задолженности</t>
  </si>
  <si>
    <t>Направления использования чистой прибыли</t>
  </si>
  <si>
    <t>Сальдо  (+профицит; - дефицит) 
(XVI р. - XVII р.)</t>
  </si>
  <si>
    <t>Топливо</t>
  </si>
  <si>
    <t>Сырье, материалы, запасные части, инструменты</t>
  </si>
  <si>
    <t>Покупная электроэнергия</t>
  </si>
  <si>
    <t>Выручка от прочей деятельности (расшифровать)</t>
  </si>
  <si>
    <t>Купля/продажа активов</t>
  </si>
  <si>
    <t>Покупка активов (акций, долей и т.п.)</t>
  </si>
  <si>
    <t>Продажа активов (акций, долей и т.п.)</t>
  </si>
  <si>
    <t>Создание систем противоаварийной и режимной автоматики</t>
  </si>
  <si>
    <t>Средства, полученные от допэмиссии акций</t>
  </si>
  <si>
    <t>к приказу Минэнерго России</t>
  </si>
  <si>
    <t>Утверждаю</t>
  </si>
  <si>
    <t>руководитель организации</t>
  </si>
  <si>
    <t>(подпись)</t>
  </si>
  <si>
    <t>«___»________ 20__ года</t>
  </si>
  <si>
    <t>М.П.</t>
  </si>
  <si>
    <t>Прочее новое строительство</t>
  </si>
  <si>
    <t>Объем финансирования
 [отчетный год]</t>
  </si>
  <si>
    <t>* - в ценах отчетного года</t>
  </si>
  <si>
    <t>** - план, согласно утвержденной инвестиционной программе</t>
  </si>
  <si>
    <t>*** - накопленным итогом за год</t>
  </si>
  <si>
    <t>Примечание: для сетевых объектов с разделением объектов на ПС, ВЛ и КЛ</t>
  </si>
  <si>
    <t>Отчет об исполнении финансового плана
(заполняется по финансированию)</t>
  </si>
  <si>
    <t>от «___»________2010 г. №____</t>
  </si>
  <si>
    <t>Приложение  № 8</t>
  </si>
  <si>
    <t>для ОГК/ТГК, в том числе</t>
  </si>
  <si>
    <t>ДПМ</t>
  </si>
  <si>
    <t>вне ДПМ</t>
  </si>
  <si>
    <t>Приложение  № 12</t>
  </si>
  <si>
    <t>Прочая прибыль</t>
  </si>
  <si>
    <t>1.2.1.</t>
  </si>
  <si>
    <t>1.2.2.</t>
  </si>
  <si>
    <t>1.2.3.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</si>
  <si>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</si>
  <si>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</si>
  <si>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</si>
  <si>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2.7.</t>
  </si>
  <si>
    <t>Использование лизинга</t>
  </si>
  <si>
    <t xml:space="preserve">2. </t>
  </si>
  <si>
    <t xml:space="preserve">3. </t>
  </si>
  <si>
    <t>за отчетный 
квартал</t>
  </si>
  <si>
    <t>Остаток собственных средств на начало года</t>
  </si>
  <si>
    <t>за отчетный квартал</t>
  </si>
  <si>
    <t>Освоено 
(закрыто актами 
выполненных работ)
млн.рублей</t>
  </si>
  <si>
    <t>1.1.4.</t>
  </si>
  <si>
    <t>Выручка от основной деятельности 
(расшифровать по видам регулируемой деятельности)</t>
  </si>
  <si>
    <t>Уровень тарифов</t>
  </si>
  <si>
    <t>Наименование показателя</t>
  </si>
  <si>
    <t xml:space="preserve">Метод учета </t>
  </si>
  <si>
    <t>На конец отчетного квартала/За отчетный квартал</t>
  </si>
  <si>
    <t>Выручка</t>
  </si>
  <si>
    <t>Чистая прибыль</t>
  </si>
  <si>
    <t xml:space="preserve">Направления распределения чистой прибыли: </t>
  </si>
  <si>
    <t>дивиденды</t>
  </si>
  <si>
    <t xml:space="preserve">Дебиторская задолженность, в т.ч.: </t>
  </si>
  <si>
    <t xml:space="preserve">    покупатели и заказчики</t>
  </si>
  <si>
    <t xml:space="preserve">    авансы выданные</t>
  </si>
  <si>
    <t>Собственный капитал</t>
  </si>
  <si>
    <t xml:space="preserve">* Заемный капитал (долгосрочные обязательства), в т.ч.: </t>
  </si>
  <si>
    <t>кредиты</t>
  </si>
  <si>
    <t>облигационные займы</t>
  </si>
  <si>
    <t>займы организаций</t>
  </si>
  <si>
    <t xml:space="preserve">прочее </t>
  </si>
  <si>
    <t>Краткосрочные обязательства, в т.ч.:</t>
  </si>
  <si>
    <t xml:space="preserve">кредиты и займы* </t>
  </si>
  <si>
    <t xml:space="preserve">кредиторская задолженность, в т.ч.: </t>
  </si>
  <si>
    <t xml:space="preserve"> по строительству</t>
  </si>
  <si>
    <t>по ремонтам</t>
  </si>
  <si>
    <t>по поставкам топлива</t>
  </si>
  <si>
    <t>Сумма процентов, выплаченых по кредитам и займам</t>
  </si>
  <si>
    <t>Оценка обеспеченности инвестиционных программ</t>
  </si>
  <si>
    <t>Профинансировано на отчетную дату</t>
  </si>
  <si>
    <t xml:space="preserve">Обеспеченность источниками финансирования </t>
  </si>
  <si>
    <t>Дефицит финансирования</t>
  </si>
  <si>
    <t xml:space="preserve">Оценка кредитного потенциала </t>
  </si>
  <si>
    <t xml:space="preserve">Собственная оценка кредитного потенциала: </t>
  </si>
  <si>
    <t>Пояснения по расчету кредитного потенциала</t>
  </si>
  <si>
    <t>* по кредитам и займам необходимо указать сумму открытых кредитных линий и сумму реально выбранных средств</t>
  </si>
  <si>
    <t xml:space="preserve">Остаток стоимости на начало года * </t>
  </si>
  <si>
    <t>Осталось профинансировать по результатам отчетного периода *</t>
  </si>
  <si>
    <t>Объем ввода мощностей</t>
  </si>
  <si>
    <t>Причины 
корректировки</t>
  </si>
  <si>
    <t>скорректированный объем</t>
  </si>
  <si>
    <t>скорр
ектирова
нный объем</t>
  </si>
  <si>
    <t>Наименование объекта*</t>
  </si>
  <si>
    <t>Технические характеристики созданных объектов</t>
  </si>
  <si>
    <t xml:space="preserve">Подстанции </t>
  </si>
  <si>
    <t>Линии электропередачи</t>
  </si>
  <si>
    <t>год ввода в эксплуатацию</t>
  </si>
  <si>
    <t>Нормативный срок службы, лет</t>
  </si>
  <si>
    <t>Количество и марка силовых трансформаторов, шт</t>
  </si>
  <si>
    <t>Мощность, МВА</t>
  </si>
  <si>
    <t>год ввода в эксплуа-тацию</t>
  </si>
  <si>
    <t>Тип опор</t>
  </si>
  <si>
    <t>Марка кабеля</t>
  </si>
  <si>
    <t>протяженность, км</t>
  </si>
  <si>
    <t>Всего</t>
  </si>
  <si>
    <t>ПИР</t>
  </si>
  <si>
    <t>СМР</t>
  </si>
  <si>
    <t>оборудование и материалы</t>
  </si>
  <si>
    <t>прочие</t>
  </si>
  <si>
    <t xml:space="preserve"> </t>
  </si>
  <si>
    <t>* - с разделением объектов на ПС, ВЛ и КЛ с указанием уровня напряжения</t>
  </si>
  <si>
    <t>** - согласно проектно-сметной документации с учетом перевода в прогнозные цены планируемого периода с НДС</t>
  </si>
  <si>
    <t>Приложение  № 1.4</t>
  </si>
  <si>
    <t>Приложение  № 6.1</t>
  </si>
  <si>
    <t>Приложение  № 6.2</t>
  </si>
  <si>
    <t>Приложение  № 6.3</t>
  </si>
  <si>
    <t>Плановый объем финансирования, млн. руб.*</t>
  </si>
  <si>
    <t>Фактически профинансировано, млн. руб.</t>
  </si>
  <si>
    <t>Оклонение фактической стоимости работ от плановой стоимости, млн. руб.</t>
  </si>
  <si>
    <t>Фактически освоено (закрыто актами выполненных работ), млн. руб.</t>
  </si>
  <si>
    <t>план***</t>
  </si>
  <si>
    <t>** - в ценах отчетного года</t>
  </si>
  <si>
    <t>*** - план, согласно утвержденной инвестиционной программе</t>
  </si>
  <si>
    <t>* - представляется ежегодно до 1 октября текущего года</t>
  </si>
  <si>
    <t>Остаток стоимости на начало года **</t>
  </si>
  <si>
    <t>скорректированный объем****</t>
  </si>
  <si>
    <t>Осталось профинансировать по результатам отчетного периода **</t>
  </si>
  <si>
    <t>Объем корректировки ****</t>
  </si>
  <si>
    <t>план ***</t>
  </si>
  <si>
    <t>**** - накопленным итогом за год</t>
  </si>
  <si>
    <t>Рекомендуемая форма представления предложений о внесении изменений в перечень инвестиционных проектов, входящих в состав инвестиционной программы, млн. рублей с НДС</t>
  </si>
  <si>
    <t>Приложение  № 5</t>
  </si>
  <si>
    <t>Приложение  №  7.2</t>
  </si>
  <si>
    <t>Приложение  № 7.1</t>
  </si>
  <si>
    <t>Отчет об исполнении инвестиционной программы, млн. рублей с НДС
(представляется ежегодно)</t>
  </si>
  <si>
    <t>Отчет об источниках финансирования инвестиционных программ, млн. рублей 
(представляется ежегодно)</t>
  </si>
  <si>
    <t>Отчет о вводах/выводах объектов
(представляется ежегодно)</t>
  </si>
  <si>
    <t>Отчет об исполнении инвестиционной программы, млн. рублей с НДС
(представляется ежеквартально)</t>
  </si>
  <si>
    <t>Отчет об источниках финансирования инвестиционных программ, млн. рублей 
(представляется ежеквартально)</t>
  </si>
  <si>
    <t>Форма представления показателей финансовой отчетности 
(представляется ежеквартально)</t>
  </si>
  <si>
    <t>Введено 
(оформлено актами ввода в эксплуатацию)
млн.рублей</t>
  </si>
  <si>
    <t>Генерирующие объекты</t>
  </si>
  <si>
    <t>мощность, МВт</t>
  </si>
  <si>
    <t>Иные 
объекты</t>
  </si>
  <si>
    <t>Нормативный 
срок службы, 
лет</t>
  </si>
  <si>
    <t>тепловая энергия, 
Гкал/час</t>
  </si>
  <si>
    <t xml:space="preserve">Всего поступления 
( I р.+ 1п. IV р. + 2 п. IX р. + 1 п. X р. +  XI р. + XIII р. + 2п.XIV р. + XV р.)                             </t>
  </si>
  <si>
    <t>Всего расходы 
(II р. - 3п. II р. + 2п. IV р. + 1 п. IX р. + 2 п. X р. + VI р. + VIII р. +  XII р. + 1 п. XIV р.+ XVI р.)</t>
  </si>
  <si>
    <t>7.</t>
  </si>
  <si>
    <t>Таблица № П1.16.</t>
  </si>
  <si>
    <r>
      <t xml:space="preserve">Расчет расходов на оплату труда   Электроэнергия </t>
    </r>
    <r>
      <rPr>
        <b/>
        <sz val="14"/>
        <color indexed="17"/>
        <rFont val="Times New Roman Cyr"/>
        <family val="1"/>
      </rPr>
      <t>Сводная</t>
    </r>
  </si>
  <si>
    <t>ОАО "Корякэнерго" свод</t>
  </si>
  <si>
    <t>№</t>
  </si>
  <si>
    <t>Ед.изм.</t>
  </si>
  <si>
    <t>Утверждено Региональной службой по тарифам и ценам Камчатского края на 2013 г.</t>
  </si>
  <si>
    <t>Численность</t>
  </si>
  <si>
    <t xml:space="preserve">Численность ППП </t>
  </si>
  <si>
    <t>чел.</t>
  </si>
  <si>
    <t>Средняя оплата труда.</t>
  </si>
  <si>
    <t>Тарифная ставка рабочего 1 разряда</t>
  </si>
  <si>
    <t>руб.</t>
  </si>
  <si>
    <t>Дефлятор по заработной плате</t>
  </si>
  <si>
    <t>Тарифная ставка рабочего 1 разряда с учетом дефлятора</t>
  </si>
  <si>
    <t>Средняя ступень оплаты</t>
  </si>
  <si>
    <t>Тарифный коэффициент соответствующий ступени по оплате труда</t>
  </si>
  <si>
    <t>Среднемесячная тарифная ставка ППП</t>
  </si>
  <si>
    <t xml:space="preserve"> - " -</t>
  </si>
  <si>
    <t>Выплаты, связанные с режимом работы с условиями труда 1 работника</t>
  </si>
  <si>
    <t>2.7.1.</t>
  </si>
  <si>
    <t>процент выплаты</t>
  </si>
  <si>
    <t>2.7.2.</t>
  </si>
  <si>
    <t>сумма выплат</t>
  </si>
  <si>
    <t>2.8.</t>
  </si>
  <si>
    <t>Текущее премирование</t>
  </si>
  <si>
    <t>2.8.1.</t>
  </si>
  <si>
    <t>2.8.2.</t>
  </si>
  <si>
    <t>2.9.</t>
  </si>
  <si>
    <t>Вознаграждение за выслугу лет</t>
  </si>
  <si>
    <t>2.9.1.</t>
  </si>
  <si>
    <t>2.9.2.</t>
  </si>
  <si>
    <t>2.10.</t>
  </si>
  <si>
    <t>Выплаты по итогам года</t>
  </si>
  <si>
    <t>2.10.1.</t>
  </si>
  <si>
    <t>2.10.2.</t>
  </si>
  <si>
    <t>2.11.</t>
  </si>
  <si>
    <t>Выплаты по районному коэффициенту и северные надбавки</t>
  </si>
  <si>
    <t>2.11.1.</t>
  </si>
  <si>
    <t>2.11.2.</t>
  </si>
  <si>
    <t>2.12.</t>
  </si>
  <si>
    <t>Итого среднемесячная оплата труда на 1 работника</t>
  </si>
  <si>
    <t>Компенсация отпуска уволенным, сокращенным</t>
  </si>
  <si>
    <t>тыс.руб.</t>
  </si>
  <si>
    <t xml:space="preserve">Выходное пособие при сокращении </t>
  </si>
  <si>
    <t>Пособие на период трудоустройства</t>
  </si>
  <si>
    <t>Итого:</t>
  </si>
  <si>
    <t>Расчет средств на оплату труда ППП (включенного в себестоимость)</t>
  </si>
  <si>
    <t>Льготный проезд к месту отдыха</t>
  </si>
  <si>
    <t xml:space="preserve">Оценочные обязательства по отпускам </t>
  </si>
  <si>
    <t xml:space="preserve"> -" -</t>
  </si>
  <si>
    <t>Итого средства на оплату труда ППП</t>
  </si>
  <si>
    <t>Расчет средств на оплату труда непромышленного персонала (включенного в балансовую прибыль)</t>
  </si>
  <si>
    <t>Численность, принятая для расчета (базовый период - фактическая)</t>
  </si>
  <si>
    <t>Среднемесячная оплата труда на 1 работника</t>
  </si>
  <si>
    <t>По постановлению от 03.11.94 г. №1206</t>
  </si>
  <si>
    <t>Итого средства на оплату труда непромышленного персонала</t>
  </si>
  <si>
    <t>Расчет по денежным выплатам</t>
  </si>
  <si>
    <t>Численность всего, принятая для расчета (базовый период - фактическая)</t>
  </si>
  <si>
    <t>Денежные выплаты на 1 работника</t>
  </si>
  <si>
    <t>Итого по денежным выплатам</t>
  </si>
  <si>
    <t xml:space="preserve">6. </t>
  </si>
  <si>
    <t>Итого средства на потребление</t>
  </si>
  <si>
    <t>Среднемесячный доход на 1 работника</t>
  </si>
  <si>
    <t>План ЭСО на 2014 г.</t>
  </si>
  <si>
    <t>План ЭСО на 2015 г.</t>
  </si>
  <si>
    <t>План ЭСО на 2016 г.</t>
  </si>
  <si>
    <t>Процент роста ФОТ</t>
  </si>
  <si>
    <t>Генеральный директор ОАО "Корякэнерго"</t>
  </si>
  <si>
    <t>№ п/п</t>
  </si>
  <si>
    <t>1.</t>
  </si>
  <si>
    <t>1.1.</t>
  </si>
  <si>
    <t>1.2.</t>
  </si>
  <si>
    <t>2.</t>
  </si>
  <si>
    <t>2.1.</t>
  </si>
  <si>
    <t>2.2.</t>
  </si>
  <si>
    <t>2.3.</t>
  </si>
  <si>
    <t>2.4.</t>
  </si>
  <si>
    <t>4.1.</t>
  </si>
  <si>
    <t>4.2.</t>
  </si>
  <si>
    <t>4.3.</t>
  </si>
  <si>
    <t>5.1.</t>
  </si>
  <si>
    <t>5.2.</t>
  </si>
  <si>
    <t>1.3.</t>
  </si>
  <si>
    <t>№№</t>
  </si>
  <si>
    <t>Источник финансирования</t>
  </si>
  <si>
    <t>Причины отклонений</t>
  </si>
  <si>
    <t>всего</t>
  </si>
  <si>
    <t>1 кв</t>
  </si>
  <si>
    <t>2 кв</t>
  </si>
  <si>
    <t>3 кв</t>
  </si>
  <si>
    <t>4 кв</t>
  </si>
  <si>
    <t>план</t>
  </si>
  <si>
    <t>факт</t>
  </si>
  <si>
    <t>ВСЕГО источников финансирования</t>
  </si>
  <si>
    <t>Собственные средства</t>
  </si>
  <si>
    <t>Прибыль, направляемая на инвестиции:</t>
  </si>
  <si>
    <t>1.1.1.</t>
  </si>
  <si>
    <t>Амортизация</t>
  </si>
  <si>
    <t>Возврат НДС</t>
  </si>
  <si>
    <t>1.4.</t>
  </si>
  <si>
    <t>Прочие собственные средства</t>
  </si>
  <si>
    <t xml:space="preserve">1.4.1. </t>
  </si>
  <si>
    <t>Бюджетное финансирование</t>
  </si>
  <si>
    <t>Прочие привлеченные средства</t>
  </si>
  <si>
    <t>II.</t>
  </si>
  <si>
    <t>III.</t>
  </si>
  <si>
    <t>Наименование объекта</t>
  </si>
  <si>
    <t xml:space="preserve">ВСЕГО, </t>
  </si>
  <si>
    <t>Объект 1</t>
  </si>
  <si>
    <t>…</t>
  </si>
  <si>
    <t>Объект 2</t>
  </si>
  <si>
    <t>I.</t>
  </si>
  <si>
    <t>1.1.2.</t>
  </si>
  <si>
    <t>Ввод мощностей</t>
  </si>
  <si>
    <t>Средства внешних инвесторов</t>
  </si>
  <si>
    <t>1.1.3.</t>
  </si>
  <si>
    <t>1.1.3.1.</t>
  </si>
  <si>
    <t>1.1.3.2.</t>
  </si>
  <si>
    <t>в т.ч. инвестиционная составляющая в тарифе</t>
  </si>
  <si>
    <t xml:space="preserve">в т.ч. прибыль со свободного сектора </t>
  </si>
  <si>
    <t>Новое строительство</t>
  </si>
  <si>
    <t>2.5.</t>
  </si>
  <si>
    <t>Наименование проекта</t>
  </si>
  <si>
    <t>МВт, Гкал/час, км, МВА</t>
  </si>
  <si>
    <t>млн.рублей</t>
  </si>
  <si>
    <t>Показатели</t>
  </si>
  <si>
    <t>Выручка от реализации товаров (работ, услуг),   всего</t>
  </si>
  <si>
    <t>Материальные расходы, всего</t>
  </si>
  <si>
    <t>Расходы на оплату труда с учетом ЕСН</t>
  </si>
  <si>
    <t>3.</t>
  </si>
  <si>
    <t>Амортизационные отчисления</t>
  </si>
  <si>
    <t>4.</t>
  </si>
  <si>
    <t>Прочие расходы, всего</t>
  </si>
  <si>
    <t>в том числе</t>
  </si>
  <si>
    <t>Ремонт основных средств</t>
  </si>
  <si>
    <t>в том числе:</t>
  </si>
  <si>
    <t>4.4.</t>
  </si>
  <si>
    <t>4.5.</t>
  </si>
  <si>
    <t>5.</t>
  </si>
  <si>
    <t>Налоги  и сборы, всего</t>
  </si>
  <si>
    <t>5.3.</t>
  </si>
  <si>
    <t>IV.</t>
  </si>
  <si>
    <t>Внереализационные доходы и расходы (сальдо)</t>
  </si>
  <si>
    <t>Внереализационные доходы, всего</t>
  </si>
  <si>
    <t>Внереализационные расходы, всего</t>
  </si>
  <si>
    <t>V.</t>
  </si>
  <si>
    <t>Прибыль до налоообложения (III + IV)</t>
  </si>
  <si>
    <t>VI.</t>
  </si>
  <si>
    <t>Налог на прибыль</t>
  </si>
  <si>
    <t>VII.</t>
  </si>
  <si>
    <t xml:space="preserve">Чистая прибыль  </t>
  </si>
  <si>
    <t>VIII.</t>
  </si>
  <si>
    <t>млн. рублей</t>
  </si>
  <si>
    <t>X.</t>
  </si>
  <si>
    <t>Привлечение заемных средств</t>
  </si>
  <si>
    <t>в том числе на:</t>
  </si>
  <si>
    <t>XI.</t>
  </si>
  <si>
    <t xml:space="preserve">Погашение заемных средств  </t>
  </si>
  <si>
    <t>XII.</t>
  </si>
  <si>
    <t>XIII.</t>
  </si>
  <si>
    <t>XIV.</t>
  </si>
  <si>
    <t>Справочно:</t>
  </si>
  <si>
    <t>EBITDA</t>
  </si>
  <si>
    <t>в т.ч. в части ДПМ*</t>
  </si>
  <si>
    <t>Долг на конец периода</t>
  </si>
  <si>
    <t>*заполняется ОГК/ТГК</t>
  </si>
  <si>
    <t>2.6.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</si>
  <si>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</si>
  <si>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</si>
  <si>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</si>
  <si>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в т.ч. средства допэмиссии</t>
  </si>
  <si>
    <t>Привлеченные средства, в т.ч.:</t>
  </si>
  <si>
    <t>Облигационные займы</t>
  </si>
  <si>
    <t>Займы организаций</t>
  </si>
  <si>
    <t>* план в соответствии с утвержденной инвестиционной программой</t>
  </si>
  <si>
    <t>план*</t>
  </si>
  <si>
    <t>Кредиты</t>
  </si>
  <si>
    <t>Вывод мощностей</t>
  </si>
  <si>
    <t>уточнения стоимости по результатам утвержденной ПСД</t>
  </si>
  <si>
    <t>в том числе за счет</t>
  </si>
  <si>
    <t>уточнения стоимости по результатм закупочных процедур</t>
  </si>
  <si>
    <t>%</t>
  </si>
  <si>
    <t>Оплата процентов за привлеченные кредитные ресурсы</t>
  </si>
  <si>
    <t>Энергосбережение и повышение энергетической эффективности</t>
  </si>
  <si>
    <t xml:space="preserve">Создание систем телемеханики  и связи </t>
  </si>
  <si>
    <t>Установка устройств регулирования напряжения и компенсации реактивной мощности</t>
  </si>
  <si>
    <t>Техническое перевооружение и реконструкция</t>
  </si>
  <si>
    <t>Отклонение ***</t>
  </si>
  <si>
    <t>факт**</t>
  </si>
  <si>
    <t>** накопленным итогом за год</t>
  </si>
  <si>
    <t>IX.</t>
  </si>
  <si>
    <t>Капитальные вложения</t>
  </si>
  <si>
    <r>
      <t xml:space="preserve">Возмещаемый НДС </t>
    </r>
    <r>
      <rPr>
        <sz val="12"/>
        <rFont val="Times New Roman"/>
        <family val="1"/>
      </rPr>
      <t>(поступления)</t>
    </r>
  </si>
  <si>
    <t>в том числе по:</t>
  </si>
  <si>
    <t>в том числе ПТП</t>
  </si>
  <si>
    <t>план**</t>
  </si>
  <si>
    <t>факт***</t>
  </si>
  <si>
    <t>3.1.</t>
  </si>
  <si>
    <t>3.2.</t>
  </si>
  <si>
    <t>3.3.</t>
  </si>
  <si>
    <t>____________________Е.Н. Кондращенко</t>
  </si>
  <si>
    <t>«_____» ___________________ 2013 года</t>
  </si>
  <si>
    <t>Строительство газо-дизельной электростанции в п. Крутогоровский Соболевского района Камчатского края</t>
  </si>
  <si>
    <t>Газо-дизельная электростанция п. Крутогоровский</t>
  </si>
  <si>
    <t>Объем финансирования
 [2012]</t>
  </si>
  <si>
    <t>Закупочные процедуры по лоту Строительство "под ключ" объекта "Газопоршневая электростанция" (ГПЭС) п.Крутогоровский Камчатского края состоялись в марте 2013 года. По итогу заключен договор от 15.04.2013г. №ГДЭС-1/07 с "Дальэнергомантаж"</t>
  </si>
  <si>
    <t>1,728 МВт</t>
  </si>
  <si>
    <t>Начальник ОЭП                                                                             Е.Ю. Лукьяненко</t>
  </si>
  <si>
    <t>Начальник ПТО                                                                      С.А. Апекин</t>
  </si>
  <si>
    <t xml:space="preserve">другое (покрытие убытков по другим энергорайонам) </t>
  </si>
  <si>
    <t>Всего потребность в финансировании инвестиционной программы с НДС</t>
  </si>
  <si>
    <t>от 24.03.2010 г. №114</t>
  </si>
  <si>
    <t>Введено (оформлено актами ввода в эксплуатацию)
млн.рублей</t>
  </si>
  <si>
    <t>1.1.1</t>
  </si>
  <si>
    <t>1.1.2</t>
  </si>
  <si>
    <t>1.1.3</t>
  </si>
  <si>
    <t>Реконструкция электроснабжения с. Пахачи (Строительство ДЭС в п. Пахачи)</t>
  </si>
  <si>
    <t>1.1.4</t>
  </si>
  <si>
    <t>1.1.9</t>
  </si>
  <si>
    <t>1.1.10</t>
  </si>
  <si>
    <t>1.1.11</t>
  </si>
  <si>
    <t>1.1.12</t>
  </si>
  <si>
    <t>1.1.13</t>
  </si>
  <si>
    <t>1.1.14</t>
  </si>
  <si>
    <t>1.1.15</t>
  </si>
  <si>
    <t>Строительство склада ГСМ в с. Ковран</t>
  </si>
  <si>
    <t xml:space="preserve">    на 2014 г. </t>
  </si>
  <si>
    <t xml:space="preserve">    на период 2014-2016 гг.</t>
  </si>
  <si>
    <t>год</t>
  </si>
  <si>
    <t>1 квартал</t>
  </si>
  <si>
    <t>2 квартал</t>
  </si>
  <si>
    <t>3 квартал</t>
  </si>
  <si>
    <t xml:space="preserve">4 квартал </t>
  </si>
  <si>
    <t>Приложение  № 10</t>
  </si>
  <si>
    <t>Местоположение объекта (субъект РФ, населенный пункт)</t>
  </si>
  <si>
    <t>Тип проекта</t>
  </si>
  <si>
    <t>Вводимая мощность (в том числе прирост)</t>
  </si>
  <si>
    <t>Срок ввода объекта</t>
  </si>
  <si>
    <t>Фактическая стадия реализации проекта на отчётную дату</t>
  </si>
  <si>
    <t>Проектная документация</t>
  </si>
  <si>
    <t>Не требуется</t>
  </si>
  <si>
    <t>1. Кем, когда принято решение о строительстве объекта (реквизиты документа)</t>
  </si>
  <si>
    <t>2. Кем, когда разработана проектная документация (разработана/не разработана (фактическое состояние), наименование проектной организации, утверждена/не утверждена, год утверждения, реквизиты документа)</t>
  </si>
  <si>
    <t>3. Прохождение проектной документацией государственной экспертизы, утверждение документации (утверждена/не утверждена, наименование ведомства, проводящего экспертизу, когда выдано заключение, реквизиты документа**)</t>
  </si>
  <si>
    <t>Землеотвод</t>
  </si>
  <si>
    <t xml:space="preserve"> - наличие землеотвода (кем, когда утверждено, реквизиты документа)</t>
  </si>
  <si>
    <t>Исходно-разрешительная документация</t>
  </si>
  <si>
    <t xml:space="preserve"> - наличие разрешения на строительство (кем, когда выдано, реквизиты документа)</t>
  </si>
  <si>
    <t>Прогнозное/ проектное топливо (основное и резервное)</t>
  </si>
  <si>
    <t>Дизельное топливо</t>
  </si>
  <si>
    <t>Прогнозный объем потребления топлива</t>
  </si>
  <si>
    <t>Топливообеспечение</t>
  </si>
  <si>
    <t>Технологическое присоединение объекта к электрической сети:</t>
  </si>
  <si>
    <t xml:space="preserve"> - заключение договора на технологическое присоединение (с указанием даты технологического присоединения к электрическим сетям)</t>
  </si>
  <si>
    <t>- разработка схемы выдачи мощности</t>
  </si>
  <si>
    <t>- получение технических условий на технологическое присоединение</t>
  </si>
  <si>
    <t>- договор на реализацию СВМ и график реализации СВМ</t>
  </si>
  <si>
    <t>Сметная стоимость проекта в ценах 2012 года с НДС, млн. руб.</t>
  </si>
  <si>
    <t>Документ, в соответствии с которым определена стоимость проекта</t>
  </si>
  <si>
    <t>Сметный расчет</t>
  </si>
  <si>
    <t>Стоимость по результатам проведенных закупок с НДС, млн. руб.</t>
  </si>
  <si>
    <t>Объем заключенных на отчётную дату договоров по проекту, млн. руб.</t>
  </si>
  <si>
    <t xml:space="preserve"> - по договорам подряда (в разбивке по каждому подрядчику и по договорам):</t>
  </si>
  <si>
    <t>объем заключенного договора в ценах ______ года с НДС, млн. руб.</t>
  </si>
  <si>
    <t>% от сметной стоимости проекта</t>
  </si>
  <si>
    <t>оплачено по договору, млн. руб.</t>
  </si>
  <si>
    <t>освоено по договору, млн. руб.</t>
  </si>
  <si>
    <t xml:space="preserve"> - по договорам поставки основного оборудования (в разбивке по каждому поставщику и по договорам):</t>
  </si>
  <si>
    <t xml:space="preserve"> - по прочим договорам (в разбивке по каждому контрагенту и по договорам)</t>
  </si>
  <si>
    <t>% законтрактованности объекта непосредственно с изготовителями и поставщиками</t>
  </si>
  <si>
    <t xml:space="preserve"> - СМР, %</t>
  </si>
  <si>
    <t xml:space="preserve"> - поставка основного оборудования, %</t>
  </si>
  <si>
    <t xml:space="preserve"> - разработка проектной документации и рабочей документации, %</t>
  </si>
  <si>
    <t>% оплаты по объекту(предоплата)</t>
  </si>
  <si>
    <t>всего оплачено по объекту</t>
  </si>
  <si>
    <t>%  освоения по объекту за отчетный период</t>
  </si>
  <si>
    <t>всего освоено по объекту</t>
  </si>
  <si>
    <t>Участники реализации инвестиционного проекта:</t>
  </si>
  <si>
    <t>- заказчик-застройщик</t>
  </si>
  <si>
    <t>- проектно-изыскательские организации</t>
  </si>
  <si>
    <t>- технические агенты</t>
  </si>
  <si>
    <t>- подрядчики</t>
  </si>
  <si>
    <t>- поставщики основного оборудования</t>
  </si>
  <si>
    <t>Перечень субподрядных организаций, участвующих в строительстве объекта</t>
  </si>
  <si>
    <t>Нет</t>
  </si>
  <si>
    <t>Количество строительно-монтажного персонала на площадке строительства энергообъекта</t>
  </si>
  <si>
    <t xml:space="preserve"> - строительный персонал</t>
  </si>
  <si>
    <t xml:space="preserve"> - монтажный персонал</t>
  </si>
  <si>
    <t>Основное оборудование</t>
  </si>
  <si>
    <t>График поставки основного оборудования</t>
  </si>
  <si>
    <t xml:space="preserve"> - дата поставки</t>
  </si>
  <si>
    <t xml:space="preserve"> - задержки в поставке</t>
  </si>
  <si>
    <t xml:space="preserve"> - причины задержек</t>
  </si>
  <si>
    <t>Фактическое состояние реализации инвестиционного проекта в срок</t>
  </si>
  <si>
    <t>Факты и события, влияющие на ход реализации проекта, проблемные вопросы:</t>
  </si>
  <si>
    <t xml:space="preserve"> - выявленные нарушения договоров подряда,</t>
  </si>
  <si>
    <t xml:space="preserve"> - рекламации к заводам - изготовителям и поставщикам,</t>
  </si>
  <si>
    <t xml:space="preserve"> - предписания надзорных органов,</t>
  </si>
  <si>
    <t xml:space="preserve"> - дефицит источников финансирования и др.,</t>
  </si>
  <si>
    <t xml:space="preserve"> - другое (расшифровать)</t>
  </si>
  <si>
    <t>* Если выполняется любой из нижеперечисленных критериев:</t>
  </si>
  <si>
    <t xml:space="preserve">     1. Проекты, финансируемые полностью или частично за счет средств федерального бюджета, и/или включенные в Федеральные целевые программы.</t>
  </si>
  <si>
    <t xml:space="preserve">     2. Объекты выдачи мощности ТЭС, ГЭС, АЭС.</t>
  </si>
  <si>
    <t xml:space="preserve">     3. Генерирующие объекты мощностью свыше 100 МВт.</t>
  </si>
  <si>
    <t xml:space="preserve">     4. Проекты, имеющие федеральное значение (объекты энергоснабжения Олимпиады в г. Сочи, саммита АТЭС в г. Владивосток, ВСТО и др.).</t>
  </si>
  <si>
    <t xml:space="preserve">     5. Проекты сметной стоимостью свыше 3 млрд. руб. (в текущих ценах с НДС)</t>
  </si>
  <si>
    <t xml:space="preserve">     6. Объекты, предусмотренные Генеральной схемой размещения объектов электроэнергетики до 2020 года.</t>
  </si>
  <si>
    <t>** Копии положительного заключения Госэкспертизы по ПСД, сводного сметного расчета  необходимо представить в Минэнерго России</t>
  </si>
  <si>
    <t>Камчатский край, Тигильский район, с. Ковран</t>
  </si>
  <si>
    <t>2015 год - план</t>
  </si>
  <si>
    <t>Не требуется.</t>
  </si>
  <si>
    <t>Собственное.</t>
  </si>
  <si>
    <t>Монтаж</t>
  </si>
  <si>
    <t>Камчатский край, Олюторский район, с. Пахачи</t>
  </si>
  <si>
    <t>Строительство</t>
  </si>
  <si>
    <t>1858,110 тонн натур. диз.топлива в год</t>
  </si>
  <si>
    <t>Строительство склада ГСМ в с. Вывенка</t>
  </si>
  <si>
    <t>Камчатский край, Олюторский район, с. Вывенка</t>
  </si>
  <si>
    <t>Приложение  № 11.1</t>
  </si>
  <si>
    <t>№ пункта укрупненного сетевого графика</t>
  </si>
  <si>
    <t>Наименование этапов основных работ (с учетом подготовительного периода до начала строительства) по общему сетевому графику *</t>
  </si>
  <si>
    <t>Сроки выполнения задач по укрупненному сетевому графику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</si>
  <si>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</si>
  <si>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</si>
  <si>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</si>
  <si>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</si>
  <si>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План</t>
  </si>
  <si>
    <t>Факт</t>
  </si>
  <si>
    <t>начало</t>
  </si>
  <si>
    <t>окончание</t>
  </si>
  <si>
    <t>1.1</t>
  </si>
  <si>
    <t xml:space="preserve">Выбор площадки строительства </t>
  </si>
  <si>
    <t>2.2</t>
  </si>
  <si>
    <t>Заключение договора на разработку рабочего проекта</t>
  </si>
  <si>
    <t>2.4</t>
  </si>
  <si>
    <t>Разработка рабочего проекта</t>
  </si>
  <si>
    <t>2.6</t>
  </si>
  <si>
    <t>Получение разрешения на строительство</t>
  </si>
  <si>
    <t>3.1</t>
  </si>
  <si>
    <t>Заключение договора с генеральным подрядчиком (EPC, EPCM) или договоров с основными подрядчиками</t>
  </si>
  <si>
    <t>3.2</t>
  </si>
  <si>
    <t>Получение правоустанавливающих документов на земельный участк под строительство</t>
  </si>
  <si>
    <t>3.3</t>
  </si>
  <si>
    <t xml:space="preserve">Заключение договоров на поставщику основного оборудования </t>
  </si>
  <si>
    <t>4.1</t>
  </si>
  <si>
    <t>Подготовка площадки строительства</t>
  </si>
  <si>
    <t>4.5</t>
  </si>
  <si>
    <t>Монтаж  основного оборудования и трубопроводов</t>
  </si>
  <si>
    <t>4.6</t>
  </si>
  <si>
    <t>Монтаж электротехнического оборудования и КиП</t>
  </si>
  <si>
    <t>6.1</t>
  </si>
  <si>
    <t xml:space="preserve">Индивидуальные испытания оборудования и функциональные испытания отдельных систем. </t>
  </si>
  <si>
    <t>6.2</t>
  </si>
  <si>
    <t>Комплексное опробование оборудования</t>
  </si>
  <si>
    <t>6.4</t>
  </si>
  <si>
    <t>Ввод объекта в эксплуатацию (получение разрешения на ввод объекта в эксплуатацию и подписание акта приемочной комиссии о приемке в эксплуатацию законченного строительством объекта)</t>
  </si>
  <si>
    <t>* Заполняется согласно приложению 3.2.</t>
  </si>
  <si>
    <t>1.2</t>
  </si>
  <si>
    <t>Проведение инженерных изысканий на выбранной площадке строительства</t>
  </si>
  <si>
    <t>4.2</t>
  </si>
  <si>
    <t>Строительство основных сооружений (главного корпуса, гидротехнических сооружений, объектов топливного хозяйства, технического водоснабжения и др.)</t>
  </si>
  <si>
    <t>Наименование</t>
  </si>
  <si>
    <t>Приложение  № 9</t>
  </si>
  <si>
    <t>Приложение  № 13</t>
  </si>
  <si>
    <t>№ 
п/п</t>
  </si>
  <si>
    <t>Наименование направления/
проекта 
инвестиционной 
программы</t>
  </si>
  <si>
    <t>Технические характеристики</t>
  </si>
  <si>
    <t>Сроки 
реализации 
проекта</t>
  </si>
  <si>
    <t>Наличие исходно-разрешительной документации</t>
  </si>
  <si>
    <t>мощность, 
МВт, МВА</t>
  </si>
  <si>
    <t>выработка, млн.кВт/ч</t>
  </si>
  <si>
    <t>длина 
ВЛ,
км</t>
  </si>
  <si>
    <t>Год начала
строительства</t>
  </si>
  <si>
    <t>Год ввода в 
эксплуатацию</t>
  </si>
  <si>
    <t>Утвержденная  
проектно-сметная 
документация
(+;-)</t>
  </si>
  <si>
    <t>Заключение 
Главгос
экспертизы 
России (+;-)</t>
  </si>
  <si>
    <t>Оформленный 
в соответствии 
с законо
дательством 
землеотвод (+;-)</t>
  </si>
  <si>
    <t>Разрешение 
на строи
тельство (+;-)</t>
  </si>
  <si>
    <t>ООО "Дальэнергомонтаж-Камчатка" (упрощенная система налогообложения)  договор подряда №ДЭМ-Р-04/09 от 04.09.2014г.</t>
  </si>
  <si>
    <t>ООО "Камчатская кадастровая Компания"</t>
  </si>
  <si>
    <t>освоено (закрыто актами)</t>
  </si>
  <si>
    <t>1 кв.</t>
  </si>
  <si>
    <t>2 кв.</t>
  </si>
  <si>
    <t>3 кв.</t>
  </si>
  <si>
    <t>4 кв.</t>
  </si>
  <si>
    <t>Постановление №269 от 20.08.2014г. Выдано Администрацией МО Тигильский МР "О выборе земельного участка"</t>
  </si>
  <si>
    <t xml:space="preserve">ООО "Дальэнергомонтаж-Камчатка"  </t>
  </si>
  <si>
    <t>Постановление №118 от 28.04.2014г. Выдано Администрацией МО Олюторский МР "О выборе земельного участка"</t>
  </si>
  <si>
    <t>ООО "ФорсайтТехнолоджис" Договор подряда № 14П913001 от 26.11.2014 г.</t>
  </si>
  <si>
    <t xml:space="preserve">ООО "ФорсайтТехнолоджис" </t>
  </si>
  <si>
    <t>ООО "ФорсайтТехнолоджис"</t>
  </si>
  <si>
    <t>поставка, монтаж</t>
  </si>
  <si>
    <t>межевание</t>
  </si>
  <si>
    <t>нет</t>
  </si>
  <si>
    <t>225 м3</t>
  </si>
  <si>
    <t>ООО Камчатская кадастровая Компания" договор межевания земельного участка №К-М-Т-26/08 от 26 августа 2014г., дополнительное соглашение 1 от 05 ноября 2014 г. (упрощенная система налогообложения)</t>
  </si>
  <si>
    <t>400 м3</t>
  </si>
  <si>
    <t>ООО "Камчатская кадастровая Компания" договор межевания земельного участка №К-ЗУ-05/06 от 05.06.2014г.(упрощенная система налогообложения)</t>
  </si>
  <si>
    <t>Камчатский край, Олюторский район, с.Тиличики</t>
  </si>
  <si>
    <t>Постановление № 206 от 14.07.2014г. Выдано Администрацией МО Олюторский МР "О  согласовании земельного участка"</t>
  </si>
  <si>
    <t>ФГУ "РГЦИУОН - Федеральное бюро технической инвентаризации". Договор №БТИ-М-П-27/08 от 27.08.2014г.</t>
  </si>
  <si>
    <t>Камчатский край, Тигильский район, с.Усть-Хайрюзово</t>
  </si>
  <si>
    <t>ООО "Форсайт-Технолоджис"</t>
  </si>
  <si>
    <t>1306,645 тонн натур.диз.топлива в год</t>
  </si>
  <si>
    <t>Собственное</t>
  </si>
  <si>
    <t>Камчатский край, Олюторский район, с.Средние Пахачи</t>
  </si>
  <si>
    <t>Реконструкция</t>
  </si>
  <si>
    <t>281,531 тонн натур.диз.топлива в год</t>
  </si>
  <si>
    <t>ООО "РЕИНИ" договор поставки № 15W713002 от 29.01.2015 г., с д/с № 1 от 10.02.2015 г.</t>
  </si>
  <si>
    <t xml:space="preserve">ООО "РЕИНИ"   </t>
  </si>
  <si>
    <t>ООО "Форсайт Технолоджис" договор подряда №15ПР13001 от 18 марта 2015 г.</t>
  </si>
  <si>
    <t>ООО "Камчатспецпроект"договор на проведение работ по разработке проектно-сметной документации № 15ПР13004 от 25.06.2015 г. (упрощенная система налогообложения)</t>
  </si>
  <si>
    <t>ООО "РЕИНИ" договор на выполнение работ по проведению реконструкции (технического перевооружения) ДЭС с.Усть-Хаюрюзово № 15П913001 от 20.05.2015 г.</t>
  </si>
  <si>
    <t>ООО "Камчатспецпроект"</t>
  </si>
  <si>
    <t>Заместитель генерального директора по экономике, финансам и сбыту                                                                                                                                                    Е.Ю.Лукьяненко</t>
  </si>
  <si>
    <t>Заместитель генерального директора по экономике, финансам и сбыту</t>
  </si>
  <si>
    <t>Е.Ю.Лукьяненко</t>
  </si>
  <si>
    <t>Заместитель генерального директора по экономике, финансам и сбыту                                                                                                        Е.Ю.Лукьяненко</t>
  </si>
  <si>
    <t>Заместитель генерального директора по экономике, финансам и сбыту                                               Е.Ю. Лукьяненко</t>
  </si>
  <si>
    <t>2,08МВт</t>
  </si>
  <si>
    <t>2018 год - план</t>
  </si>
  <si>
    <t>3,6МВт</t>
  </si>
  <si>
    <t>0,4 МВт</t>
  </si>
  <si>
    <t>2016-2018 годы - план</t>
  </si>
  <si>
    <t>2016 год-план</t>
  </si>
  <si>
    <t>разработка проектно-сметной документации</t>
  </si>
  <si>
    <t>ООО "РЕИНИ"</t>
  </si>
  <si>
    <t>Ведется поставка оборудования</t>
  </si>
  <si>
    <t>ООО "Камчатспецпроект"договор на проведение работ по разработке проектно-сметной документации № 15ПР13007 от 01.09.2015 г. (упрощенная система налогообложения)</t>
  </si>
  <si>
    <t xml:space="preserve">ООО "Камчатспецпроект"  </t>
  </si>
  <si>
    <t>Оборудование смонтировано и введено в эксплуатацию. Приказ о вводе №653 "А" от 09.09.2015 г.</t>
  </si>
  <si>
    <t>Выдано администрацией МО сельского поселения "село Пахачи", Олюторского района, Камчатского края, 14.08.2015 года № 41-ru82503307-01-2015</t>
  </si>
  <si>
    <t>Выполнен проект на строительство склада ГСМс.Вывенка</t>
  </si>
  <si>
    <t>Разработана, ООО "Камчатспецпроект"</t>
  </si>
  <si>
    <t xml:space="preserve"> ООО "Форсайт Технолоджис", разработана 17.03.2015 г., утверждена ООО "Управление экспертизы проектной документации и результатов инженерных изысканий" 30.04.2015 г.</t>
  </si>
  <si>
    <t>Разработана, ООО "Форсайт Технолоджис" в августе 2015 г.</t>
  </si>
  <si>
    <t>Для финансирования инвестиционной программы заключен договор по открытию кредитной линии с Филиал Банка ВТБ (ПАО)</t>
  </si>
  <si>
    <t>Строительство основных сооружений</t>
  </si>
  <si>
    <t>Выполнен проект на строительство склада ГСМ с.Тиличики</t>
  </si>
  <si>
    <t>ИП Топчевод В.В. договор № 15П813008 от 11.08.2015 г.(упрощенная система налогообложения)</t>
  </si>
  <si>
    <t>Изготовление фундамента для установки основного оборудования, монтаж основного оборудования</t>
  </si>
  <si>
    <t>Объем финансирования
 [2016]</t>
  </si>
  <si>
    <t>** - план, согласно утвержденной инвестиционной программе. Постановление Региональной службы по тарифам и ценам Камчатского края № 147 от 13.08.2015 г. "Об утверждении инвестиционной программы ОАО "Корякэнерго" на 2016-2018 г.г."</t>
  </si>
  <si>
    <t>Амортизация нового оборудования</t>
  </si>
  <si>
    <t>1 кв. 2016 г.</t>
  </si>
  <si>
    <t>2 кв. 2016 г.</t>
  </si>
  <si>
    <t>3 кв. 2016 г.</t>
  </si>
  <si>
    <t>4 кв. 2016 г.</t>
  </si>
  <si>
    <t>2016 г.</t>
  </si>
  <si>
    <t>Установка одного ДГУ на ДЭС-6 п. Таежный</t>
  </si>
  <si>
    <t>Камчатский край, Мильковский район, п. Таёжный</t>
  </si>
  <si>
    <t>0,08 МВт</t>
  </si>
  <si>
    <t>52,302 тонн натур.диз.топлива в год</t>
  </si>
  <si>
    <t xml:space="preserve">ООО "МОТОРГЕН" Договор подряда № 16W713004 от 11.03.2016 г. </t>
  </si>
  <si>
    <t xml:space="preserve">ООО "МОТОРГЕН" </t>
  </si>
  <si>
    <t>ООО "Альянс-ДВ" договор № 08.06-15 от 08.06.2015 г.</t>
  </si>
  <si>
    <t>Материалы для производства работ по данному инвестпроекту приобретались и доставлялись совместно с материалами для производства ремонтных работ в течение года.</t>
  </si>
  <si>
    <t>монтаж</t>
  </si>
  <si>
    <t>стоимость оборудования, пуско-наладка, э/т материалы под монтаж</t>
  </si>
  <si>
    <t>доставка</t>
  </si>
  <si>
    <t>материалы под монтаж</t>
  </si>
  <si>
    <t>0,4МВт</t>
  </si>
  <si>
    <t>-</t>
  </si>
  <si>
    <t>Задержка в оформлении земельного участка</t>
  </si>
  <si>
    <t>4.3</t>
  </si>
  <si>
    <t>Сдача основных сооружений под монтаж оборудования</t>
  </si>
  <si>
    <t>6.3</t>
  </si>
  <si>
    <t>Готовность оборудования (ОРУ, ЗРУ) для технологического присоединения к электрическим сетям</t>
  </si>
  <si>
    <t xml:space="preserve">Заключение договоров на поставку основного оборудования </t>
  </si>
  <si>
    <t xml:space="preserve">На конец 2015 года / За 2015 год </t>
  </si>
  <si>
    <t>-22,356</t>
  </si>
  <si>
    <t>0,052</t>
  </si>
  <si>
    <t>амортизация в тарифе 2016 г.</t>
  </si>
  <si>
    <t>амортизация в тарифе 2015 г.</t>
  </si>
  <si>
    <t>амортизация факт 2015 г.</t>
  </si>
  <si>
    <t>амортизация факт 2016 г.</t>
  </si>
  <si>
    <t>Строительство склада ГСМ в с. Ковран****</t>
  </si>
  <si>
    <t>Установка одного ДГУ на ДЭС-16 п.Средние Пахачи****</t>
  </si>
  <si>
    <t>**** - незавершенные мероприятия 2014-2015 г.г. по инвестиционной программе, утвержденной Приказом № 214-ОД от 15.08.2013 г. "Об утверждении инвестиционной программы ОАО "Корякэнерго" на 2014-2016 годы" (в редакции приказа № 238-ОД от 10.09.2015 г.)</t>
  </si>
  <si>
    <t>Генеральный директор АО "Корякэнерго"</t>
  </si>
  <si>
    <t>____________________С.А.Кулинич</t>
  </si>
  <si>
    <t>Установка одного ДГУ на ДЭС-16 п.Средние Пахачи</t>
  </si>
  <si>
    <t>Оборудование смонтировано и введено в эксплуатацию. Приказ о вводе № 36 "А" от 31.01.2016 г.</t>
  </si>
  <si>
    <t>"Реконструкция и развитие электроснабжения АО "Корякэнерго"</t>
  </si>
  <si>
    <t>АО "Корякэнерго", Постановление Региональной службы по тарифам и ценам Камчатского края № 147 от 13.08.2015 г.</t>
  </si>
  <si>
    <t>АО "Корякэнерго"</t>
  </si>
  <si>
    <t xml:space="preserve">АО "Корякэнерго" </t>
  </si>
  <si>
    <t>АО "Корякэнерго", приказ об утверждении инвестиционной программы № 369-ОД от 25.09.2014 года</t>
  </si>
  <si>
    <t>"Реконструкция и развитие электроснабжения АО "Корякэнерго" (строительство склада ГСМ в с.Вывенка)</t>
  </si>
  <si>
    <t>"Реконструкция и развитие электроснабжения АО "Корякэнерго" (реконструкция электроснабжения с.Пахачи)</t>
  </si>
  <si>
    <t>"Реконструкция и развитие электроснабжения АО "Корякэнерго" (реконструкция электроснабжения с. Усть-Хайрюзово)</t>
  </si>
  <si>
    <t>"Реконструкция и развитие электроснабжения АО "Корякэнерго" (установка одного ДГУ на ДЭС-6 п. Таежный)</t>
  </si>
  <si>
    <t>"Реконструкция и развитие электроснабжения АО "Корякэнерго" (строительство склада ГСМ в с.Ковран)</t>
  </si>
  <si>
    <t>"Реконструкция и развитие электроснабжения АО "Корякэнерго" (установка одного ДГУ на ДЭС-16 п.Средние Пахачи)</t>
  </si>
  <si>
    <t>Реконструкция электроснабжения с. Усть-Хайрюзово (техническое перевооружение ДЭС)</t>
  </si>
  <si>
    <t>Реконструкции ТП-2 "Поселок" с. Хаилино (техприсоединение ФАП)</t>
  </si>
  <si>
    <t>Реконструкции ТП-1 "ДЭС" с. Хаилино с кабельной линией от РУ-0,4кВ ДЭС-26 от ТП-1 с. Хаилино (техприсоединение ФАП)</t>
  </si>
  <si>
    <t>Реконструкция основных генерирующих мощностей модульной ДЭС-8 с.Верхние Тиличики Олюторского района на основе полной замены основного генерирующего оборудования взамен изношенного</t>
  </si>
  <si>
    <t>Технологичесское присоединение потребителей</t>
  </si>
  <si>
    <t>1.2.1</t>
  </si>
  <si>
    <t>1.2.2</t>
  </si>
  <si>
    <t>Прочие объекты</t>
  </si>
  <si>
    <t>1.3.1</t>
  </si>
  <si>
    <t>1.3.2</t>
  </si>
  <si>
    <t>1.3.3</t>
  </si>
  <si>
    <t>1.3.4</t>
  </si>
  <si>
    <t>1.3.5</t>
  </si>
  <si>
    <t>1.3.6</t>
  </si>
  <si>
    <t>1.3.7</t>
  </si>
  <si>
    <t>Снегоход Arctic Cat с.Ильпырское</t>
  </si>
  <si>
    <t>Снегоход Arctic Cat с.Тымлат</t>
  </si>
  <si>
    <t>Автомобиль УАЗ-29891 с.Пахачи</t>
  </si>
  <si>
    <t>Автомобиль УАЗ-29891 п.Таежный</t>
  </si>
  <si>
    <t>Грузовой автомобиль с манипулятором FUSO Canter Аппарат управления</t>
  </si>
  <si>
    <t>Автокран КС-45721-17 "Челябинец" с.Усть-Хайрюзово</t>
  </si>
  <si>
    <t>Снегоболотоход гусенечный ГАЗ 34039-32 с.Тымлат</t>
  </si>
  <si>
    <t>2.1.1</t>
  </si>
  <si>
    <t>Строительство склада ГСМ в с.Средние Пахачи 500 м3 (две емкости 200м3 и 300м3)</t>
  </si>
  <si>
    <t>2.2.1</t>
  </si>
  <si>
    <t>2.2.2</t>
  </si>
  <si>
    <t>2.2.3</t>
  </si>
  <si>
    <t>2.2.4</t>
  </si>
  <si>
    <t>Строительство склада ГСМ в с. Тиличики 2000м3 (одна емкость 2000м3) с трубопроводом и насосной станцией</t>
  </si>
  <si>
    <t>Полезный отпуск (Корякэнерго)</t>
  </si>
  <si>
    <t>Полезный отпуск (Тиличики)</t>
  </si>
  <si>
    <t>инвест составляющая (Корякэнерго)</t>
  </si>
  <si>
    <t>инвест составляющая (Тиличики)</t>
  </si>
  <si>
    <t>НДС (Корякэнерго)</t>
  </si>
  <si>
    <t>НДС (Тиличики)</t>
  </si>
  <si>
    <t>Финансирование Корякэнерго</t>
  </si>
  <si>
    <t>Финансирование Тиличики</t>
  </si>
  <si>
    <t>Камчатский край, Олюторский район, с. Тиличики</t>
  </si>
  <si>
    <t>3 МВт</t>
  </si>
  <si>
    <t>2195,981 тонн натур.диз.топлива в год</t>
  </si>
  <si>
    <t>Сметный расчет, спецификация</t>
  </si>
  <si>
    <t>ООО "Моторген" №16П813004 от "16" сентября 2016 г.</t>
  </si>
  <si>
    <t>ООО "Моторген"</t>
  </si>
  <si>
    <t>Камчатский край, Олюторский район, с. Хаилино</t>
  </si>
  <si>
    <t>ИП Дмитриева М. А.</t>
  </si>
  <si>
    <t>Реконструкции ТП-1 "ДЭС" с. Хаилино (техприсоединение ФАП)</t>
  </si>
  <si>
    <t>0,63 МВт</t>
  </si>
  <si>
    <t xml:space="preserve">Заключён договор на изготовление конструктивных элементов  </t>
  </si>
  <si>
    <t>ООО "Дальэнергомонтаж-Камчатка"</t>
  </si>
  <si>
    <t>ДГУ введен в эксплуатацию</t>
  </si>
  <si>
    <t>Оборудование смонтировано и введено в эксплуатацию. Приказ о вводе № 836/1 "А" от 30.09.2016 г.</t>
  </si>
  <si>
    <t>Освоено, закрыто актами выполненных работ, млн.руб.</t>
  </si>
  <si>
    <t>1 квартал 2016</t>
  </si>
  <si>
    <t>НДС, млн.руб.</t>
  </si>
  <si>
    <t>2 квартал 2016</t>
  </si>
  <si>
    <t>3 квартал 2016</t>
  </si>
  <si>
    <t>возврат НДС по старой ИП</t>
  </si>
  <si>
    <t>Итого</t>
  </si>
  <si>
    <t>Начальник ПТО                                                                                                                                                С.А.Апекин</t>
  </si>
  <si>
    <t>1,2МВт</t>
  </si>
  <si>
    <t>0,08МВт</t>
  </si>
  <si>
    <t>0,400МВт</t>
  </si>
  <si>
    <t>0,630МВт</t>
  </si>
  <si>
    <t>400м3</t>
  </si>
  <si>
    <t>2000м3</t>
  </si>
  <si>
    <t>200м3</t>
  </si>
  <si>
    <t>0,033МВт</t>
  </si>
  <si>
    <t>0,250МВт</t>
  </si>
  <si>
    <t>2017 год-план</t>
  </si>
  <si>
    <t>АО "Корякэнерго", приказ об утверждении инвестиционной программы № 213 от 25.08.2016 года</t>
  </si>
  <si>
    <t xml:space="preserve"> ООО "ТаймЛизинг" № 560-ВЛ-ОБ от 20.09.2016 г.</t>
  </si>
  <si>
    <t>Начальник ПТО                                                                                                         С.А.Апекин</t>
  </si>
  <si>
    <t>ИП Дмитриева М. А. №16П213019 от 23.05.2016 (без НДС)</t>
  </si>
  <si>
    <t>Оборудование введено в эксплуатацию. Приказ о вводе № 723/1 "А"  от 01.09.2016 г.</t>
  </si>
  <si>
    <t>ТП введена в эксплуатацию</t>
  </si>
  <si>
    <t>ТП введена в эксплуатацию.</t>
  </si>
  <si>
    <t>Камчатский край, Карагинский район, с.Ильпырское</t>
  </si>
  <si>
    <t>ООО "Сименс Финанс" № 44199-ФЛ/ВЛ -16 от 06.05.16 г.</t>
  </si>
  <si>
    <t>Камчатский край, Карагинский район, с.Тымлат</t>
  </si>
  <si>
    <t xml:space="preserve">ИП Костюк А.А. № 16W113002 от 18.05.2016 г. </t>
  </si>
  <si>
    <t>Введен в эксплуатацию.</t>
  </si>
  <si>
    <t>Введен в эксплуатацию. Приказ АО "Корякэнерго" о вводе № 455/1 "А" от 10.06.2016 г.</t>
  </si>
  <si>
    <t>Объект находится в эксплуатации</t>
  </si>
  <si>
    <t>Камчатский край, Олюторский район, с.Пахачи</t>
  </si>
  <si>
    <t>2019 год-план</t>
  </si>
  <si>
    <t>ООО "Сименс Финанс" № 43494-ФЛ/ВЛ -16 от 19.04.16 г.</t>
  </si>
  <si>
    <t>Камчатский край, Мильковский район, п.Таежный</t>
  </si>
  <si>
    <t>ООО "Сименс Финанс" № 43493-ФЛ/ВЛ -16 от 19.04.16 г.</t>
  </si>
  <si>
    <t>Камчатский край, г.Петропавловск-Камчатский</t>
  </si>
  <si>
    <t>ООО "Сименс Финанс" № 30400-ФЛ/ВЛ-14 от 22.04.2014 г.</t>
  </si>
  <si>
    <t>2018 год-план</t>
  </si>
  <si>
    <t>ООО "Сименс Финанс" № 36450-ФЛ/ВЛ-15 от 21.04.2015 г.</t>
  </si>
  <si>
    <t>ООО "Сименс Финанс" № 30579-ФЛ/ВЛ-14 от 22.04.2014 г.</t>
  </si>
  <si>
    <t>2000 м3</t>
  </si>
  <si>
    <t>ООО "Дальэнергомонтаж-Камчатка" № 16М113075 от 20.09.2016 г.</t>
  </si>
  <si>
    <t>Начальник ПТО                                                                             С. А. Апекин</t>
  </si>
  <si>
    <t>"Реконструкция и развитие электроснабжения АО "Корякэнерго" (Реконструкция основных генерирующих мощностей модульной ДЭС-8 с. Верхние Тиличики Олюторского района на основе полной замены основного генерирующего оборудования взамен изношенного)</t>
  </si>
  <si>
    <t>"Реконструкция и развитие электроснабжения АО "Корякэнерго" (реконструкции ТП-2 "Поселок" с. Хаилино (техприсоединение ФАП))</t>
  </si>
  <si>
    <t>"Реконструкция и развитие электроснабжения АО "Корякэнерго" (Реконструкции ТП-1 "ДЭС" с. Хаилино с кабельной линией от РУ-0,4кВ ДЭС-28 от ТП-1 с. Хаилино (техприсоединение ФАП))</t>
  </si>
  <si>
    <t>"Реконструкция и развитие электроснабжения АО "Корякэнерго" (строительство склада ГСМ в с.Тиличики 2000 м3 (одна емкость 2000 м3) с трубопроводом и насосной станцией)</t>
  </si>
  <si>
    <t>"Реконструкция и развитие электроснабжения АО "Корякэнерго" (строительство склада ГСМ в с.Средние Пахачи 500 м3 (две емкости 200 м3 и 300 м3))</t>
  </si>
  <si>
    <t>Приложение  № 11.2</t>
  </si>
  <si>
    <t xml:space="preserve">№ п/п
п/п
</t>
  </si>
  <si>
    <t>Тип</t>
  </si>
  <si>
    <t xml:space="preserve">Предпроектный этап </t>
  </si>
  <si>
    <t>работа</t>
  </si>
  <si>
    <t>Проектный этап</t>
  </si>
  <si>
    <t>событие</t>
  </si>
  <si>
    <t>Организационный этап</t>
  </si>
  <si>
    <t>Строительные работы</t>
  </si>
  <si>
    <t>4.6.</t>
  </si>
  <si>
    <t>Испытания и ввод в эксплуатацию</t>
  </si>
  <si>
    <t>6.1.</t>
  </si>
  <si>
    <t>6.2.</t>
  </si>
  <si>
    <t>6.4.</t>
  </si>
  <si>
    <t>Ввод объекта в эксплуатацию (получение разрешения на ввод объекта в эксплуатацию и подписание акта приемочной комиссии о приемке в эксплуатацию законченного строительством объекта).</t>
  </si>
  <si>
    <t xml:space="preserve">событие </t>
  </si>
  <si>
    <t>Начальник ПТО                                                                      С. А. Апекин</t>
  </si>
  <si>
    <t>"Реконструкция и развитие электроснабжения АО "Корякэнерго" (реконструкция электроснабжения с.Усть-Хайрюзово)</t>
  </si>
  <si>
    <t>"Реконструкция и развитие электроснабжения АО "Корякэнерго" (реконструкции ТП-1 "ДЭС" с. Хаилино с кабельной линией от РУ-0,4кВ ДЭС-28 от ТП-1 с. Хаилино (техприсоединение ФАП))</t>
  </si>
  <si>
    <t>Начальник ПТО                                                                      С.А.Апекин</t>
  </si>
  <si>
    <t>1,2МВТ</t>
  </si>
  <si>
    <t>не требуется</t>
  </si>
  <si>
    <t>+</t>
  </si>
  <si>
    <t>3МВт</t>
  </si>
  <si>
    <t>Отчет об исполнении основных этапов работ по реализации инвестиционной программы компании в отчетном году
(представляется ежеквартально - 4 квартал 2016 года)</t>
  </si>
  <si>
    <t>Отчет о вводах/выводах объектов
(представляется ежеквартально -4 квартал 2016 года)</t>
  </si>
  <si>
    <t>Отчет о ходе реализации проектов (заполняется для наиболее значимых проектов*)
(представляется ежеквартально - 4 квартал 2016 года)</t>
  </si>
  <si>
    <t>Отчет об исполнении сетевых графиков строительства проектов 
(представляется ежеквартально - 4 квартал 2016 года)</t>
  </si>
  <si>
    <t>Отчет об исполнении сетевых графиков строительства проектов 
(представляется ежеквартально -4 квартал 2016 года)</t>
  </si>
  <si>
    <t>I. Контрольные  этапы реализации инвестиционного проекта для генерирующих компаний
(представляется ежеквартально - 4 квартал 2016 года)</t>
  </si>
  <si>
    <t>Финансовые показатели за отчетный период [ 4 квартал 2016 года/ 2015 год]</t>
  </si>
  <si>
    <t>Отчет о техническом состоянии объекта
(представляется ежеквартально - 4 квартал 2016 года)</t>
  </si>
  <si>
    <t>«_____» ___________________ 2017 года</t>
  </si>
  <si>
    <t>Отчетный период  4 квартал 2016 года</t>
  </si>
  <si>
    <t>по состоянию на 01.01.2017г.</t>
  </si>
  <si>
    <t>усть-хайрюзово дэс</t>
  </si>
  <si>
    <t>таежный дэс</t>
  </si>
  <si>
    <t>Тиличики дэс</t>
  </si>
  <si>
    <t>Ср.Пахачи ДЭС</t>
  </si>
  <si>
    <t>ТП-2 Хаилино</t>
  </si>
  <si>
    <t>ТП-1 Хаилино</t>
  </si>
  <si>
    <t>Снегоход Ильпырское</t>
  </si>
  <si>
    <t>4 квартал 2016</t>
  </si>
  <si>
    <t>1191,484/233,072</t>
  </si>
  <si>
    <t>115,291/24,706</t>
  </si>
  <si>
    <t>ООО "ВСК" договор по обустройству свайного поля под строительство склада ГСМ №16П913003 от 29.12.2016 г.</t>
  </si>
  <si>
    <t>2,4МВТ</t>
  </si>
  <si>
    <t>2МВт</t>
  </si>
  <si>
    <t>лизинг</t>
  </si>
  <si>
    <t>лизинг план</t>
  </si>
  <si>
    <t>Получение правоустанавливающих документов на земельный участок под строительство</t>
  </si>
  <si>
    <t>2019 год - план</t>
  </si>
  <si>
    <t>500 м3</t>
  </si>
  <si>
    <t>25,479/-88,851</t>
  </si>
  <si>
    <t>16,109/-9,592</t>
  </si>
  <si>
    <t>1,307/0,000</t>
  </si>
  <si>
    <t>225м3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</si>
</sst>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#####0.0#####"/>
    <numFmt numFmtId="173" formatCode="_-* #,##0;\(#,##0\);_-* &quot;-&quot;??;_-@"/>
    <numFmt numFmtId="174" formatCode="_(* #,##0_);_(* \(#,##0\);_(* &quot;-&quot;_);_(@_)"/>
    <numFmt numFmtId="175" formatCode="#,##0.0"/>
    <numFmt numFmtId="176" formatCode="#,##0.000"/>
    <numFmt numFmtId="177" formatCode="0.0%"/>
    <numFmt numFmtId="178" formatCode="_(* #,##0.00_);_(* \(#,##0.00\);_(* &quot;-&quot;_);_(@_)"/>
    <numFmt numFmtId="179" formatCode="0.000"/>
    <numFmt numFmtId="180" formatCode="0.0"/>
    <numFmt numFmtId="181" formatCode="0.0000"/>
    <numFmt numFmtId="182" formatCode="0.00000000"/>
    <numFmt numFmtId="183" formatCode="0.0000000"/>
    <numFmt numFmtId="184" formatCode="0.000000"/>
    <numFmt numFmtId="185" formatCode="0.00000"/>
    <numFmt numFmtId="186" formatCode="0.000000000"/>
    <numFmt numFmtId="187" formatCode="0.0000000000"/>
    <numFmt numFmtId="188" formatCode="_-* #,##0.000_р_._-;\-* #,##0.000_р_._-;_-* &quot;-&quot;???_р_._-;_-@_-"/>
    <numFmt numFmtId="189" formatCode="0.000%"/>
    <numFmt numFmtId="190" formatCode="_(* #,##0.0_);_(* \(#,##0.0\);_(* &quot;-&quot;_);_(@_)"/>
    <numFmt numFmtId="191" formatCode="0.000000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(* #,##0.00_);_(* \(#,##0.00\);_(* &quot;-&quot;??_);_(@_)"/>
    <numFmt numFmtId="197" formatCode="_(* #,##0_);_(* \(#,##0\);_(* &quot;-&quot;??_);_(@_)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#,##0.00000000000"/>
    <numFmt numFmtId="206" formatCode="#,##0.000000000000"/>
    <numFmt numFmtId="207" formatCode="#,##0.0000000000000"/>
    <numFmt numFmtId="208" formatCode="#,##0.00000000000000"/>
    <numFmt numFmtId="209" formatCode="#,##0.000000000000000"/>
    <numFmt numFmtId="210" formatCode="#,##0.0000000000000000"/>
    <numFmt numFmtId="211" formatCode="#,##0.00000000000000000"/>
    <numFmt numFmtId="212" formatCode="#,##0.000000000000000000"/>
    <numFmt numFmtId="213" formatCode="[$-FC19]d\ mmmm\ yyyy\ &quot;г.&quot;"/>
    <numFmt numFmtId="214" formatCode="0.000000000000"/>
    <numFmt numFmtId="215" formatCode="0.0000000000000"/>
    <numFmt numFmtId="216" formatCode="0.00000000000000"/>
    <numFmt numFmtId="217" formatCode="_-* #,##0.0_р_._-;\-* #,##0.0_р_._-;_-* &quot;-&quot;??_р_._-;_-@_-"/>
    <numFmt numFmtId="218" formatCode="_-* #,##0.000_р_._-;\-* #,##0.000_р_._-;_-* &quot;-&quot;??_р_._-;_-@_-"/>
    <numFmt numFmtId="219" formatCode="_-* #,##0.0000_р_._-;\-* #,##0.0000_р_._-;_-* &quot;-&quot;????_р_._-;_-@_-"/>
    <numFmt numFmtId="220" formatCode="_-* #,##0.0;\(#,##0.0\);_-* &quot;-&quot;??;_-@"/>
    <numFmt numFmtId="221" formatCode="_-* #,##0.00;\(#,##0.00\);_-* &quot;-&quot;??;_-@"/>
    <numFmt numFmtId="222" formatCode="_-* #,##0.000;\(#,##0.000\);_-* &quot;-&quot;??;_-@"/>
  </numFmts>
  <fonts count="151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.5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9.6"/>
      <color indexed="12"/>
      <name val="Times New Roman"/>
      <family val="1"/>
    </font>
    <font>
      <u val="single"/>
      <sz val="9.6"/>
      <color indexed="36"/>
      <name val="Times New Roman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4"/>
      <color indexed="17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sz val="10"/>
      <color indexed="10"/>
      <name val="Times New Roman Cyr"/>
      <family val="1"/>
    </font>
    <font>
      <sz val="9"/>
      <name val="Times New Roman CYR"/>
      <family val="1"/>
    </font>
    <font>
      <b/>
      <i/>
      <sz val="10"/>
      <color indexed="9"/>
      <name val="Times New Roman Cyr"/>
      <family val="1"/>
    </font>
    <font>
      <b/>
      <sz val="16"/>
      <color indexed="60"/>
      <name val="Times New Roman Cyr"/>
      <family val="1"/>
    </font>
    <font>
      <b/>
      <sz val="11"/>
      <color indexed="60"/>
      <name val="Times New Roman Cyr"/>
      <family val="1"/>
    </font>
    <font>
      <b/>
      <sz val="12"/>
      <color indexed="60"/>
      <name val="Times New Roman"/>
      <family val="1"/>
    </font>
    <font>
      <sz val="11"/>
      <color indexed="8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imes New Roman"/>
      <family val="1"/>
    </font>
    <font>
      <b/>
      <sz val="11"/>
      <color indexed="12"/>
      <name val="Times New Roman"/>
      <family val="1"/>
    </font>
    <font>
      <b/>
      <sz val="13.5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13"/>
      <name val="Times New Roman"/>
      <family val="1"/>
    </font>
    <font>
      <sz val="12"/>
      <color indexed="13"/>
      <name val="Times New Roman"/>
      <family val="1"/>
    </font>
    <font>
      <sz val="14"/>
      <color indexed="60"/>
      <name val="Times New Roman"/>
      <family val="1"/>
    </font>
    <font>
      <sz val="9"/>
      <color indexed="13"/>
      <name val="Times New Roman"/>
      <family val="1"/>
    </font>
    <font>
      <sz val="8"/>
      <color indexed="13"/>
      <name val="Times New Roman"/>
      <family val="1"/>
    </font>
    <font>
      <sz val="12"/>
      <color indexed="27"/>
      <name val="Times New Roman"/>
      <family val="1"/>
    </font>
    <font>
      <u val="single"/>
      <sz val="9.6"/>
      <color indexed="27"/>
      <name val="Times New Roman"/>
      <family val="1"/>
    </font>
    <font>
      <b/>
      <sz val="20"/>
      <color indexed="13"/>
      <name val="Times New Roman"/>
      <family val="1"/>
    </font>
    <font>
      <sz val="14"/>
      <color indexed="13"/>
      <name val="Times New Roman"/>
      <family val="1"/>
    </font>
    <font>
      <sz val="18"/>
      <color indexed="27"/>
      <name val="Times New Roman"/>
      <family val="1"/>
    </font>
    <font>
      <sz val="9"/>
      <color indexed="45"/>
      <name val="Times New Roman"/>
      <family val="1"/>
    </font>
    <font>
      <sz val="8"/>
      <color indexed="45"/>
      <name val="Times New Roman"/>
      <family val="1"/>
    </font>
    <font>
      <sz val="12"/>
      <color indexed="60"/>
      <name val="Times New Roman"/>
      <family val="1"/>
    </font>
    <font>
      <sz val="11"/>
      <color indexed="27"/>
      <name val="Times New Roman"/>
      <family val="1"/>
    </font>
    <font>
      <sz val="12"/>
      <color indexed="26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0"/>
      <color indexed="27"/>
      <name val="Times New Roman"/>
      <family val="1"/>
    </font>
    <font>
      <sz val="10"/>
      <color indexed="42"/>
      <name val="Times New Roman"/>
      <family val="1"/>
    </font>
    <font>
      <sz val="10"/>
      <color indexed="13"/>
      <name val="Times New Roman"/>
      <family val="1"/>
    </font>
    <font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27"/>
      <name val="Times New Roman"/>
      <family val="1"/>
    </font>
    <font>
      <sz val="14"/>
      <color indexed="8"/>
      <name val="Times New Roman"/>
      <family val="1"/>
    </font>
    <font>
      <b/>
      <sz val="9"/>
      <color indexed="27"/>
      <name val="Times New Roman"/>
      <family val="1"/>
    </font>
    <font>
      <sz val="9"/>
      <color indexed="27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47"/>
      <name val="Times New Roman"/>
      <family val="1"/>
    </font>
    <font>
      <u val="single"/>
      <sz val="9"/>
      <color indexed="27"/>
      <name val="Times New Roman"/>
      <family val="1"/>
    </font>
    <font>
      <sz val="14"/>
      <color indexed="27"/>
      <name val="Times New Roman"/>
      <family val="1"/>
    </font>
    <font>
      <sz val="7"/>
      <color indexed="13"/>
      <name val="Times New Roman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sz val="9"/>
      <color indexed="47"/>
      <name val="Times New Roman"/>
      <family val="1"/>
    </font>
    <font>
      <sz val="11"/>
      <color theme="1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rgb="FFFFFF00"/>
      <name val="Times New Roman"/>
      <family val="1"/>
    </font>
    <font>
      <sz val="12"/>
      <color rgb="FFFFFF00"/>
      <name val="Times New Roman"/>
      <family val="1"/>
    </font>
    <font>
      <sz val="14"/>
      <color rgb="FFC00000"/>
      <name val="Times New Roman"/>
      <family val="1"/>
    </font>
    <font>
      <sz val="9"/>
      <color rgb="FFFFFF00"/>
      <name val="Times New Roman"/>
      <family val="1"/>
    </font>
    <font>
      <sz val="8"/>
      <color rgb="FFFFFF00"/>
      <name val="Times New Roman"/>
      <family val="1"/>
    </font>
    <font>
      <sz val="11"/>
      <color theme="1"/>
      <name val="Times New Roman"/>
      <family val="1"/>
    </font>
    <font>
      <sz val="12"/>
      <color rgb="FFCCFFFF"/>
      <name val="Times New Roman"/>
      <family val="1"/>
    </font>
    <font>
      <u val="single"/>
      <sz val="9.6"/>
      <color rgb="FFCCFFFF"/>
      <name val="Times New Roman"/>
      <family val="1"/>
    </font>
    <font>
      <b/>
      <sz val="20"/>
      <color rgb="FFFFFF00"/>
      <name val="Times New Roman"/>
      <family val="1"/>
    </font>
    <font>
      <sz val="14"/>
      <color rgb="FFFFFF00"/>
      <name val="Times New Roman"/>
      <family val="1"/>
    </font>
    <font>
      <sz val="18"/>
      <color rgb="FFCCFFFF"/>
      <name val="Times New Roman"/>
      <family val="1"/>
    </font>
    <font>
      <sz val="9"/>
      <color rgb="FFFFCCFF"/>
      <name val="Times New Roman"/>
      <family val="1"/>
    </font>
    <font>
      <sz val="8"/>
      <color rgb="FFFFCCFF"/>
      <name val="Times New Roman"/>
      <family val="1"/>
    </font>
    <font>
      <sz val="12"/>
      <color rgb="FFC00000"/>
      <name val="Times New Roman"/>
      <family val="1"/>
    </font>
    <font>
      <sz val="11"/>
      <color rgb="FFCCFFFF"/>
      <name val="Times New Roman"/>
      <family val="1"/>
    </font>
    <font>
      <sz val="12"/>
      <color rgb="FFFFFFCC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C00000"/>
      <name val="Times New Roman"/>
      <family val="1"/>
    </font>
    <font>
      <b/>
      <sz val="12"/>
      <color rgb="FFFF0000"/>
      <name val="Times New Roman"/>
      <family val="1"/>
    </font>
    <font>
      <sz val="10"/>
      <color theme="8" tint="0.7999799847602844"/>
      <name val="Times New Roman"/>
      <family val="1"/>
    </font>
    <font>
      <sz val="12"/>
      <color theme="8" tint="0.7999799847602844"/>
      <name val="Times New Roman"/>
      <family val="1"/>
    </font>
    <font>
      <sz val="10"/>
      <color theme="6" tint="0.7999799847602844"/>
      <name val="Times New Roman"/>
      <family val="1"/>
    </font>
    <font>
      <sz val="10"/>
      <color rgb="FFFFFF00"/>
      <name val="Times New Roman"/>
      <family val="1"/>
    </font>
    <font>
      <sz val="10"/>
      <color theme="5" tint="-0.24997000396251678"/>
      <name val="Times New Roman"/>
      <family val="1"/>
    </font>
    <font>
      <b/>
      <sz val="10"/>
      <color theme="5" tint="-0.24997000396251678"/>
      <name val="Times New Roman"/>
      <family val="1"/>
    </font>
    <font>
      <b/>
      <sz val="10"/>
      <color rgb="FFFFFF00"/>
      <name val="Times New Roman"/>
      <family val="1"/>
    </font>
    <font>
      <b/>
      <sz val="10"/>
      <color theme="8" tint="0.7999799847602844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9"/>
      <color theme="8" tint="0.7999799847602844"/>
      <name val="Times New Roman"/>
      <family val="1"/>
    </font>
    <font>
      <sz val="9"/>
      <color theme="8" tint="0.7999799847602844"/>
      <name val="Times New Roman"/>
      <family val="1"/>
    </font>
    <font>
      <b/>
      <i/>
      <sz val="12"/>
      <color theme="1"/>
      <name val="Times New Roman"/>
      <family val="1"/>
    </font>
    <font>
      <sz val="11"/>
      <color theme="9" tint="0.7999799847602844"/>
      <name val="Times New Roman"/>
      <family val="1"/>
    </font>
    <font>
      <sz val="9"/>
      <color rgb="FFCCFFFF"/>
      <name val="Times New Roman"/>
      <family val="1"/>
    </font>
    <font>
      <u val="single"/>
      <sz val="9"/>
      <color rgb="FFCCFFFF"/>
      <name val="Times New Roman"/>
      <family val="1"/>
    </font>
    <font>
      <b/>
      <sz val="11"/>
      <color rgb="FF0000CC"/>
      <name val="Times New Roman"/>
      <family val="1"/>
    </font>
    <font>
      <sz val="14"/>
      <color theme="8" tint="0.7999799847602844"/>
      <name val="Times New Roman"/>
      <family val="1"/>
    </font>
    <font>
      <sz val="7"/>
      <color rgb="FFFFFF00"/>
      <name val="Times New Roman"/>
      <family val="1"/>
    </font>
    <font>
      <sz val="12"/>
      <color theme="9" tint="0.7999799847602844"/>
      <name val="Times New Roman"/>
      <family val="1"/>
    </font>
    <font>
      <b/>
      <sz val="12"/>
      <color theme="9" tint="0.7999799847602844"/>
      <name val="Times New Roman"/>
      <family val="1"/>
    </font>
    <font>
      <sz val="9"/>
      <color theme="9" tint="0.7999799847602844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D5"/>
        <bgColor indexed="64"/>
      </patternFill>
    </fill>
    <fill>
      <patternFill patternType="solid">
        <fgColor rgb="FFFDDBF3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medium"/>
    </border>
    <border>
      <left/>
      <right/>
      <top>
        <color indexed="63"/>
      </top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 style="hair"/>
      <bottom style="hair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05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1" fillId="0" borderId="0">
      <alignment/>
      <protection/>
    </xf>
    <xf numFmtId="0" fontId="40" fillId="0" borderId="0">
      <alignment/>
      <protection/>
    </xf>
    <xf numFmtId="0" fontId="21" fillId="0" borderId="0">
      <alignment/>
      <protection/>
    </xf>
    <xf numFmtId="0" fontId="3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 wrapText="1"/>
    </xf>
    <xf numFmtId="2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2" fontId="0" fillId="0" borderId="0" xfId="0" applyNumberFormat="1" applyFont="1" applyAlignment="1">
      <alignment horizontal="center" vertical="top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2" fillId="0" borderId="25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center" vertical="top" wrapText="1"/>
    </xf>
    <xf numFmtId="16" fontId="2" fillId="0" borderId="12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1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center" vertical="center"/>
    </xf>
    <xf numFmtId="16" fontId="0" fillId="0" borderId="1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justify" vertical="center" wrapText="1"/>
    </xf>
    <xf numFmtId="0" fontId="2" fillId="0" borderId="35" xfId="0" applyFont="1" applyBorder="1" applyAlignment="1">
      <alignment horizontal="justify" vertical="center" wrapText="1"/>
    </xf>
    <xf numFmtId="0" fontId="22" fillId="0" borderId="36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justify" vertical="center" wrapText="1"/>
    </xf>
    <xf numFmtId="0" fontId="0" fillId="0" borderId="0" xfId="0" applyFont="1" applyAlignment="1">
      <alignment horizontal="left" wrapText="1"/>
    </xf>
    <xf numFmtId="2" fontId="27" fillId="0" borderId="0" xfId="0" applyNumberFormat="1" applyFont="1" applyAlignment="1">
      <alignment horizontal="right" vertical="top" wrapText="1"/>
    </xf>
    <xf numFmtId="16" fontId="2" fillId="0" borderId="2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right" vertical="center" wrapText="1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38" xfId="0" applyFont="1" applyBorder="1" applyAlignment="1">
      <alignment horizontal="justify" vertical="center" wrapText="1"/>
    </xf>
    <xf numFmtId="2" fontId="0" fillId="0" borderId="0" xfId="0" applyNumberFormat="1" applyFont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54" applyFont="1">
      <alignment/>
      <protection/>
    </xf>
    <xf numFmtId="0" fontId="0" fillId="0" borderId="0" xfId="54" applyFont="1" applyAlignment="1">
      <alignment horizontal="right"/>
      <protection/>
    </xf>
    <xf numFmtId="0" fontId="30" fillId="0" borderId="0" xfId="0" applyFont="1" applyAlignment="1">
      <alignment/>
    </xf>
    <xf numFmtId="0" fontId="2" fillId="0" borderId="0" xfId="54" applyFont="1">
      <alignment/>
      <protection/>
    </xf>
    <xf numFmtId="173" fontId="2" fillId="0" borderId="13" xfId="54" applyNumberFormat="1" applyFont="1" applyBorder="1" applyAlignment="1">
      <alignment horizontal="center" vertical="center" wrapText="1"/>
      <protection/>
    </xf>
    <xf numFmtId="173" fontId="2" fillId="0" borderId="10" xfId="54" applyNumberFormat="1" applyFont="1" applyBorder="1" applyAlignment="1">
      <alignment horizontal="center" wrapText="1"/>
      <protection/>
    </xf>
    <xf numFmtId="0" fontId="31" fillId="0" borderId="15" xfId="54" applyFont="1" applyBorder="1" applyAlignment="1">
      <alignment horizontal="center"/>
      <protection/>
    </xf>
    <xf numFmtId="173" fontId="2" fillId="20" borderId="10" xfId="54" applyNumberFormat="1" applyFont="1" applyFill="1" applyBorder="1" applyAlignment="1">
      <alignment horizontal="center" vertical="center" wrapText="1"/>
      <protection/>
    </xf>
    <xf numFmtId="173" fontId="2" fillId="20" borderId="10" xfId="54" applyNumberFormat="1" applyFont="1" applyFill="1" applyBorder="1" applyAlignment="1">
      <alignment horizontal="center" wrapText="1"/>
      <protection/>
    </xf>
    <xf numFmtId="173" fontId="32" fillId="20" borderId="10" xfId="54" applyNumberFormat="1" applyFont="1" applyFill="1" applyBorder="1" applyAlignment="1">
      <alignment horizontal="center" wrapText="1"/>
      <protection/>
    </xf>
    <xf numFmtId="173" fontId="0" fillId="0" borderId="10" xfId="54" applyNumberFormat="1" applyFont="1" applyBorder="1" applyAlignment="1">
      <alignment wrapText="1"/>
      <protection/>
    </xf>
    <xf numFmtId="173" fontId="0" fillId="0" borderId="10" xfId="54" applyNumberFormat="1" applyFont="1" applyBorder="1" applyAlignment="1">
      <alignment horizontal="left" wrapText="1" indent="1"/>
      <protection/>
    </xf>
    <xf numFmtId="173" fontId="26" fillId="0" borderId="10" xfId="54" applyNumberFormat="1" applyFont="1" applyBorder="1" applyAlignment="1">
      <alignment horizontal="left" wrapText="1" indent="2"/>
      <protection/>
    </xf>
    <xf numFmtId="173" fontId="0" fillId="0" borderId="10" xfId="54" applyNumberFormat="1" applyFont="1" applyBorder="1">
      <alignment/>
      <protection/>
    </xf>
    <xf numFmtId="173" fontId="0" fillId="0" borderId="10" xfId="54" applyNumberFormat="1" applyFont="1" applyBorder="1" applyAlignment="1">
      <alignment vertical="center"/>
      <protection/>
    </xf>
    <xf numFmtId="173" fontId="33" fillId="0" borderId="0" xfId="54" applyNumberFormat="1" applyFont="1" applyAlignment="1">
      <alignment wrapText="1"/>
      <protection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distributed"/>
    </xf>
    <xf numFmtId="0" fontId="28" fillId="0" borderId="10" xfId="0" applyFont="1" applyBorder="1" applyAlignment="1">
      <alignment horizontal="center" vertical="distributed" wrapText="1"/>
    </xf>
    <xf numFmtId="2" fontId="0" fillId="0" borderId="10" xfId="0" applyNumberFormat="1" applyFont="1" applyFill="1" applyBorder="1" applyAlignment="1">
      <alignment horizontal="center" vertical="center" wrapText="1"/>
    </xf>
    <xf numFmtId="179" fontId="2" fillId="0" borderId="21" xfId="0" applyNumberFormat="1" applyFont="1" applyBorder="1" applyAlignment="1">
      <alignment horizontal="right" vertical="center"/>
    </xf>
    <xf numFmtId="0" fontId="20" fillId="0" borderId="0" xfId="0" applyFont="1" applyAlignment="1">
      <alignment horizontal="right"/>
    </xf>
    <xf numFmtId="180" fontId="0" fillId="0" borderId="0" xfId="0" applyNumberFormat="1" applyFill="1" applyAlignment="1">
      <alignment/>
    </xf>
    <xf numFmtId="180" fontId="40" fillId="0" borderId="0" xfId="61" applyNumberFormat="1" applyFont="1" applyFill="1" applyAlignment="1">
      <alignment horizontal="right"/>
      <protection/>
    </xf>
    <xf numFmtId="180" fontId="0" fillId="0" borderId="0" xfId="0" applyNumberFormat="1" applyFill="1" applyAlignment="1">
      <alignment horizontal="center"/>
    </xf>
    <xf numFmtId="180" fontId="0" fillId="0" borderId="0" xfId="0" applyNumberFormat="1" applyFill="1" applyAlignment="1">
      <alignment vertical="justify"/>
    </xf>
    <xf numFmtId="180" fontId="0" fillId="0" borderId="10" xfId="0" applyNumberFormat="1" applyFill="1" applyBorder="1" applyAlignment="1">
      <alignment horizontal="center"/>
    </xf>
    <xf numFmtId="0" fontId="43" fillId="0" borderId="10" xfId="58" applyFont="1" applyFill="1" applyBorder="1" applyAlignment="1">
      <alignment horizontal="center" vertical="center" wrapText="1"/>
      <protection/>
    </xf>
    <xf numFmtId="1" fontId="0" fillId="0" borderId="10" xfId="0" applyNumberFormat="1" applyFill="1" applyBorder="1" applyAlignment="1">
      <alignment horizontal="center"/>
    </xf>
    <xf numFmtId="180" fontId="0" fillId="0" borderId="10" xfId="0" applyNumberFormat="1" applyFill="1" applyBorder="1" applyAlignment="1">
      <alignment/>
    </xf>
    <xf numFmtId="180" fontId="44" fillId="0" borderId="10" xfId="0" applyNumberFormat="1" applyFont="1" applyFill="1" applyBorder="1" applyAlignment="1">
      <alignment wrapText="1"/>
    </xf>
    <xf numFmtId="180" fontId="0" fillId="0" borderId="10" xfId="0" applyNumberFormat="1" applyFill="1" applyBorder="1" applyAlignment="1">
      <alignment wrapText="1"/>
    </xf>
    <xf numFmtId="180" fontId="45" fillId="0" borderId="10" xfId="0" applyNumberFormat="1" applyFont="1" applyFill="1" applyBorder="1" applyAlignment="1">
      <alignment wrapText="1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79" fontId="0" fillId="0" borderId="10" xfId="0" applyNumberFormat="1" applyFill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180" fontId="40" fillId="0" borderId="10" xfId="0" applyNumberFormat="1" applyFont="1" applyFill="1" applyBorder="1" applyAlignment="1">
      <alignment wrapText="1"/>
    </xf>
    <xf numFmtId="180" fontId="40" fillId="0" borderId="10" xfId="60" applyNumberFormat="1" applyFill="1" applyBorder="1">
      <alignment/>
      <protection/>
    </xf>
    <xf numFmtId="180" fontId="45" fillId="0" borderId="10" xfId="0" applyNumberFormat="1" applyFont="1" applyFill="1" applyBorder="1" applyAlignment="1">
      <alignment/>
    </xf>
    <xf numFmtId="0" fontId="23" fillId="0" borderId="0" xfId="57" applyFont="1" applyFill="1" applyBorder="1">
      <alignment/>
      <protection/>
    </xf>
    <xf numFmtId="0" fontId="23" fillId="0" borderId="0" xfId="57" applyFont="1" applyFill="1" applyBorder="1" applyAlignment="1">
      <alignment horizontal="right"/>
      <protection/>
    </xf>
    <xf numFmtId="0" fontId="23" fillId="0" borderId="0" xfId="57" applyFont="1">
      <alignment/>
      <protection/>
    </xf>
    <xf numFmtId="0" fontId="23" fillId="0" borderId="0" xfId="61" applyFont="1">
      <alignment/>
      <protection/>
    </xf>
    <xf numFmtId="1" fontId="48" fillId="0" borderId="0" xfId="0" applyNumberFormat="1" applyFont="1" applyFill="1" applyAlignment="1">
      <alignment horizontal="center"/>
    </xf>
    <xf numFmtId="1" fontId="48" fillId="24" borderId="0" xfId="0" applyNumberFormat="1" applyFont="1" applyFill="1" applyAlignment="1">
      <alignment horizontal="center"/>
    </xf>
    <xf numFmtId="180" fontId="40" fillId="0" borderId="0" xfId="61" applyNumberFormat="1" applyFont="1" applyFill="1">
      <alignment/>
      <protection/>
    </xf>
    <xf numFmtId="180" fontId="47" fillId="0" borderId="0" xfId="0" applyNumberFormat="1" applyFont="1" applyFill="1" applyAlignment="1">
      <alignment wrapText="1"/>
    </xf>
    <xf numFmtId="180" fontId="40" fillId="0" borderId="0" xfId="59" applyNumberFormat="1" applyFont="1" applyFill="1" applyBorder="1" applyAlignment="1" applyProtection="1">
      <alignment vertical="top"/>
      <protection/>
    </xf>
    <xf numFmtId="180" fontId="0" fillId="0" borderId="0" xfId="0" applyNumberFormat="1" applyFill="1" applyAlignment="1">
      <alignment wrapText="1"/>
    </xf>
    <xf numFmtId="1" fontId="0" fillId="0" borderId="0" xfId="0" applyNumberFormat="1" applyFill="1" applyAlignment="1">
      <alignment horizontal="center"/>
    </xf>
    <xf numFmtId="184" fontId="0" fillId="0" borderId="0" xfId="0" applyNumberFormat="1" applyFill="1" applyAlignment="1">
      <alignment/>
    </xf>
    <xf numFmtId="185" fontId="0" fillId="0" borderId="0" xfId="0" applyNumberFormat="1" applyFill="1" applyAlignment="1">
      <alignment/>
    </xf>
    <xf numFmtId="180" fontId="0" fillId="0" borderId="10" xfId="0" applyNumberFormat="1" applyFill="1" applyBorder="1" applyAlignment="1">
      <alignment horizontal="center" vertical="center"/>
    </xf>
    <xf numFmtId="180" fontId="49" fillId="0" borderId="0" xfId="0" applyNumberFormat="1" applyFont="1" applyFill="1" applyAlignment="1">
      <alignment horizontal="right" wrapText="1"/>
    </xf>
    <xf numFmtId="180" fontId="50" fillId="0" borderId="0" xfId="0" applyNumberFormat="1" applyFont="1" applyFill="1" applyAlignment="1">
      <alignment horizontal="center"/>
    </xf>
    <xf numFmtId="180" fontId="51" fillId="0" borderId="0" xfId="0" applyNumberFormat="1" applyFont="1" applyFill="1" applyAlignment="1">
      <alignment/>
    </xf>
    <xf numFmtId="3" fontId="44" fillId="0" borderId="10" xfId="0" applyNumberFormat="1" applyFont="1" applyFill="1" applyBorder="1" applyAlignment="1">
      <alignment horizontal="center"/>
    </xf>
    <xf numFmtId="3" fontId="44" fillId="25" borderId="10" xfId="0" applyNumberFormat="1" applyFont="1" applyFill="1" applyBorder="1" applyAlignment="1">
      <alignment horizontal="center"/>
    </xf>
    <xf numFmtId="3" fontId="43" fillId="0" borderId="10" xfId="0" applyNumberFormat="1" applyFont="1" applyFill="1" applyBorder="1" applyAlignment="1">
      <alignment horizontal="center"/>
    </xf>
    <xf numFmtId="3" fontId="44" fillId="25" borderId="10" xfId="0" applyNumberFormat="1" applyFont="1" applyFill="1" applyBorder="1" applyAlignment="1">
      <alignment horizontal="center"/>
    </xf>
    <xf numFmtId="3" fontId="52" fillId="0" borderId="10" xfId="0" applyNumberFormat="1" applyFont="1" applyFill="1" applyBorder="1" applyAlignment="1">
      <alignment/>
    </xf>
    <xf numFmtId="3" fontId="28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 horizontal="center"/>
    </xf>
    <xf numFmtId="3" fontId="29" fillId="25" borderId="10" xfId="0" applyNumberFormat="1" applyFont="1" applyFill="1" applyBorder="1" applyAlignment="1">
      <alignment horizontal="center"/>
    </xf>
    <xf numFmtId="3" fontId="43" fillId="0" borderId="10" xfId="60" applyNumberFormat="1" applyFont="1" applyFill="1" applyBorder="1" applyAlignment="1">
      <alignment horizontal="center"/>
      <protection/>
    </xf>
    <xf numFmtId="179" fontId="0" fillId="0" borderId="10" xfId="0" applyNumberFormat="1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35" fillId="0" borderId="15" xfId="0" applyFont="1" applyBorder="1" applyAlignment="1">
      <alignment/>
    </xf>
    <xf numFmtId="0" fontId="20" fillId="0" borderId="0" xfId="54" applyFont="1" applyAlignment="1">
      <alignment horizontal="right"/>
      <protection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21" xfId="0" applyNumberFormat="1" applyFont="1" applyFill="1" applyBorder="1" applyAlignment="1">
      <alignment horizontal="right" vertical="center" wrapText="1"/>
    </xf>
    <xf numFmtId="0" fontId="0" fillId="0" borderId="21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right" vertical="center" wrapText="1"/>
    </xf>
    <xf numFmtId="176" fontId="2" fillId="0" borderId="10" xfId="0" applyNumberFormat="1" applyFont="1" applyFill="1" applyBorder="1" applyAlignment="1">
      <alignment horizontal="right" vertical="center" wrapText="1"/>
    </xf>
    <xf numFmtId="176" fontId="0" fillId="0" borderId="21" xfId="0" applyNumberFormat="1" applyFont="1" applyFill="1" applyBorder="1" applyAlignment="1">
      <alignment horizontal="right" vertical="center" wrapText="1"/>
    </xf>
    <xf numFmtId="176" fontId="2" fillId="0" borderId="20" xfId="0" applyNumberFormat="1" applyFont="1" applyFill="1" applyBorder="1" applyAlignment="1">
      <alignment horizontal="right" vertical="center" wrapText="1"/>
    </xf>
    <xf numFmtId="176" fontId="0" fillId="0" borderId="20" xfId="0" applyNumberFormat="1" applyFont="1" applyFill="1" applyBorder="1" applyAlignment="1">
      <alignment horizontal="right" vertical="center" wrapText="1"/>
    </xf>
    <xf numFmtId="176" fontId="0" fillId="0" borderId="10" xfId="0" applyNumberFormat="1" applyFont="1" applyFill="1" applyBorder="1" applyAlignment="1">
      <alignment horizontal="right"/>
    </xf>
    <xf numFmtId="176" fontId="0" fillId="0" borderId="21" xfId="0" applyNumberFormat="1" applyFont="1" applyFill="1" applyBorder="1" applyAlignment="1">
      <alignment horizontal="right"/>
    </xf>
    <xf numFmtId="176" fontId="0" fillId="0" borderId="20" xfId="0" applyNumberFormat="1" applyFont="1" applyFill="1" applyBorder="1" applyAlignment="1">
      <alignment horizontal="right"/>
    </xf>
    <xf numFmtId="188" fontId="2" fillId="0" borderId="20" xfId="0" applyNumberFormat="1" applyFont="1" applyFill="1" applyBorder="1" applyAlignment="1">
      <alignment horizontal="right" vertical="center" wrapText="1"/>
    </xf>
    <xf numFmtId="188" fontId="0" fillId="0" borderId="10" xfId="0" applyNumberFormat="1" applyFont="1" applyFill="1" applyBorder="1" applyAlignment="1">
      <alignment horizontal="right" vertical="center" wrapText="1"/>
    </xf>
    <xf numFmtId="188" fontId="2" fillId="0" borderId="10" xfId="0" applyNumberFormat="1" applyFont="1" applyFill="1" applyBorder="1" applyAlignment="1">
      <alignment horizontal="right" vertical="center" wrapText="1"/>
    </xf>
    <xf numFmtId="188" fontId="0" fillId="0" borderId="21" xfId="0" applyNumberFormat="1" applyFont="1" applyFill="1" applyBorder="1" applyAlignment="1">
      <alignment horizontal="right" vertical="center" wrapText="1"/>
    </xf>
    <xf numFmtId="188" fontId="0" fillId="0" borderId="20" xfId="0" applyNumberFormat="1" applyFont="1" applyFill="1" applyBorder="1" applyAlignment="1">
      <alignment horizontal="right" vertical="center" wrapText="1"/>
    </xf>
    <xf numFmtId="188" fontId="0" fillId="0" borderId="10" xfId="0" applyNumberFormat="1" applyFont="1" applyFill="1" applyBorder="1" applyAlignment="1">
      <alignment horizontal="right"/>
    </xf>
    <xf numFmtId="188" fontId="0" fillId="0" borderId="21" xfId="0" applyNumberFormat="1" applyFont="1" applyFill="1" applyBorder="1" applyAlignment="1">
      <alignment horizontal="right"/>
    </xf>
    <xf numFmtId="188" fontId="0" fillId="0" borderId="20" xfId="0" applyNumberFormat="1" applyFont="1" applyFill="1" applyBorder="1" applyAlignment="1">
      <alignment horizontal="right"/>
    </xf>
    <xf numFmtId="176" fontId="2" fillId="0" borderId="30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6" fontId="0" fillId="0" borderId="30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176" fontId="0" fillId="0" borderId="29" xfId="0" applyNumberFormat="1" applyFont="1" applyBorder="1" applyAlignment="1">
      <alignment horizontal="right" vertical="center"/>
    </xf>
    <xf numFmtId="176" fontId="0" fillId="0" borderId="34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176" fontId="0" fillId="0" borderId="1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2" fillId="0" borderId="39" xfId="0" applyNumberFormat="1" applyFont="1" applyBorder="1" applyAlignment="1">
      <alignment horizontal="right" vertical="center"/>
    </xf>
    <xf numFmtId="176" fontId="2" fillId="0" borderId="40" xfId="0" applyNumberFormat="1" applyFont="1" applyBorder="1" applyAlignment="1">
      <alignment horizontal="right" vertical="center"/>
    </xf>
    <xf numFmtId="176" fontId="24" fillId="0" borderId="39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6" fontId="22" fillId="0" borderId="11" xfId="0" applyNumberFormat="1" applyFont="1" applyBorder="1" applyAlignment="1">
      <alignment horizontal="center" vertical="center" wrapText="1"/>
    </xf>
    <xf numFmtId="176" fontId="23" fillId="0" borderId="11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right" vertical="center"/>
    </xf>
    <xf numFmtId="176" fontId="2" fillId="0" borderId="36" xfId="0" applyNumberFormat="1" applyFont="1" applyBorder="1" applyAlignment="1">
      <alignment horizontal="right" vertical="center"/>
    </xf>
    <xf numFmtId="176" fontId="23" fillId="0" borderId="14" xfId="0" applyNumberFormat="1" applyFont="1" applyBorder="1" applyAlignment="1">
      <alignment horizontal="center" vertical="center" wrapText="1"/>
    </xf>
    <xf numFmtId="176" fontId="23" fillId="0" borderId="39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right" vertical="center"/>
    </xf>
    <xf numFmtId="176" fontId="0" fillId="0" borderId="41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176" fontId="0" fillId="0" borderId="36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6" fontId="23" fillId="0" borderId="42" xfId="0" applyNumberFormat="1" applyFont="1" applyBorder="1" applyAlignment="1">
      <alignment horizontal="center" vertical="center" wrapText="1"/>
    </xf>
    <xf numFmtId="176" fontId="2" fillId="0" borderId="44" xfId="0" applyNumberFormat="1" applyFont="1" applyBorder="1" applyAlignment="1">
      <alignment horizontal="right" vertical="center"/>
    </xf>
    <xf numFmtId="176" fontId="2" fillId="0" borderId="45" xfId="0" applyNumberFormat="1" applyFont="1" applyBorder="1" applyAlignment="1">
      <alignment horizontal="right" vertical="center"/>
    </xf>
    <xf numFmtId="176" fontId="23" fillId="0" borderId="44" xfId="0" applyNumberFormat="1" applyFont="1" applyBorder="1" applyAlignment="1">
      <alignment horizontal="center" vertical="center" wrapText="1"/>
    </xf>
    <xf numFmtId="176" fontId="22" fillId="0" borderId="42" xfId="0" applyNumberFormat="1" applyFont="1" applyBorder="1" applyAlignment="1">
      <alignment horizontal="center" vertical="center" wrapText="1"/>
    </xf>
    <xf numFmtId="176" fontId="24" fillId="0" borderId="14" xfId="0" applyNumberFormat="1" applyFont="1" applyBorder="1" applyAlignment="1">
      <alignment horizontal="center" vertical="center" wrapText="1"/>
    </xf>
    <xf numFmtId="176" fontId="23" fillId="0" borderId="39" xfId="0" applyNumberFormat="1" applyFont="1" applyBorder="1" applyAlignment="1">
      <alignment horizontal="center" vertical="center"/>
    </xf>
    <xf numFmtId="176" fontId="0" fillId="0" borderId="39" xfId="0" applyNumberFormat="1" applyFont="1" applyBorder="1" applyAlignment="1">
      <alignment horizontal="right" vertical="center"/>
    </xf>
    <xf numFmtId="176" fontId="0" fillId="0" borderId="40" xfId="0" applyNumberFormat="1" applyFont="1" applyBorder="1" applyAlignment="1">
      <alignment horizontal="right" vertical="center"/>
    </xf>
    <xf numFmtId="176" fontId="24" fillId="0" borderId="11" xfId="0" applyNumberFormat="1" applyFont="1" applyBorder="1" applyAlignment="1">
      <alignment horizontal="center" vertical="center" wrapText="1"/>
    </xf>
    <xf numFmtId="176" fontId="2" fillId="0" borderId="22" xfId="0" applyNumberFormat="1" applyFont="1" applyBorder="1" applyAlignment="1">
      <alignment horizontal="right" vertical="center"/>
    </xf>
    <xf numFmtId="176" fontId="2" fillId="0" borderId="46" xfId="0" applyNumberFormat="1" applyFont="1" applyBorder="1" applyAlignment="1">
      <alignment horizontal="right" vertical="center"/>
    </xf>
    <xf numFmtId="176" fontId="22" fillId="0" borderId="22" xfId="0" applyNumberFormat="1" applyFon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/>
    </xf>
    <xf numFmtId="176" fontId="0" fillId="0" borderId="42" xfId="0" applyNumberFormat="1" applyFont="1" applyBorder="1" applyAlignment="1">
      <alignment horizontal="right" vertical="center"/>
    </xf>
    <xf numFmtId="176" fontId="0" fillId="0" borderId="43" xfId="0" applyNumberFormat="1" applyFont="1" applyBorder="1" applyAlignment="1">
      <alignment horizontal="right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2" fillId="0" borderId="47" xfId="0" applyNumberFormat="1" applyFont="1" applyBorder="1" applyAlignment="1">
      <alignment horizontal="right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176" fontId="0" fillId="0" borderId="22" xfId="0" applyNumberFormat="1" applyFont="1" applyBorder="1" applyAlignment="1">
      <alignment horizontal="right" vertical="center"/>
    </xf>
    <xf numFmtId="176" fontId="0" fillId="0" borderId="46" xfId="0" applyNumberFormat="1" applyFont="1" applyBorder="1" applyAlignment="1">
      <alignment horizontal="right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6" fontId="0" fillId="0" borderId="11" xfId="0" applyNumberFormat="1" applyBorder="1" applyAlignment="1">
      <alignment horizontal="center" vertical="center"/>
    </xf>
    <xf numFmtId="176" fontId="0" fillId="0" borderId="24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" fontId="0" fillId="0" borderId="0" xfId="0" applyNumberFormat="1" applyAlignment="1">
      <alignment/>
    </xf>
    <xf numFmtId="179" fontId="0" fillId="0" borderId="0" xfId="0" applyNumberFormat="1" applyAlignment="1">
      <alignment/>
    </xf>
    <xf numFmtId="179" fontId="0" fillId="0" borderId="49" xfId="0" applyNumberFormat="1" applyFont="1" applyBorder="1" applyAlignment="1">
      <alignment horizontal="right" vertical="center"/>
    </xf>
    <xf numFmtId="179" fontId="0" fillId="0" borderId="50" xfId="0" applyNumberFormat="1" applyFont="1" applyBorder="1" applyAlignment="1">
      <alignment horizontal="right" vertical="center"/>
    </xf>
    <xf numFmtId="0" fontId="53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16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9" fontId="2" fillId="20" borderId="10" xfId="54" applyNumberFormat="1" applyFont="1" applyFill="1" applyBorder="1" applyAlignment="1">
      <alignment horizontal="center" wrapText="1"/>
      <protection/>
    </xf>
    <xf numFmtId="49" fontId="32" fillId="20" borderId="10" xfId="54" applyNumberFormat="1" applyFont="1" applyFill="1" applyBorder="1" applyAlignment="1">
      <alignment horizontal="center" wrapText="1"/>
      <protection/>
    </xf>
    <xf numFmtId="0" fontId="20" fillId="0" borderId="0" xfId="54" applyFont="1" applyAlignment="1">
      <alignment horizontal="right" vertical="center"/>
      <protection/>
    </xf>
    <xf numFmtId="173" fontId="20" fillId="0" borderId="0" xfId="54" applyNumberFormat="1" applyFont="1" applyAlignment="1">
      <alignment horizontal="left" wrapText="1"/>
      <protection/>
    </xf>
    <xf numFmtId="176" fontId="106" fillId="0" borderId="10" xfId="54" applyNumberFormat="1" applyFont="1" applyBorder="1" applyAlignment="1">
      <alignment horizontal="center" wrapText="1"/>
      <protection/>
    </xf>
    <xf numFmtId="173" fontId="106" fillId="0" borderId="10" xfId="54" applyNumberFormat="1" applyFont="1" applyBorder="1" applyAlignment="1">
      <alignment horizontal="center" wrapText="1"/>
      <protection/>
    </xf>
    <xf numFmtId="176" fontId="0" fillId="26" borderId="10" xfId="54" applyNumberFormat="1" applyFont="1" applyFill="1" applyBorder="1" applyAlignment="1">
      <alignment horizontal="center" wrapText="1"/>
      <protection/>
    </xf>
    <xf numFmtId="176" fontId="0" fillId="0" borderId="0" xfId="0" applyNumberFormat="1" applyFont="1" applyAlignment="1">
      <alignment/>
    </xf>
    <xf numFmtId="176" fontId="0" fillId="26" borderId="10" xfId="0" applyNumberFormat="1" applyFont="1" applyFill="1" applyBorder="1" applyAlignment="1">
      <alignment horizontal="right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176" fontId="107" fillId="26" borderId="10" xfId="0" applyNumberFormat="1" applyFont="1" applyFill="1" applyBorder="1" applyAlignment="1">
      <alignment horizontal="right" vertical="center" wrapText="1"/>
    </xf>
    <xf numFmtId="173" fontId="107" fillId="0" borderId="10" xfId="54" applyNumberFormat="1" applyFont="1" applyBorder="1">
      <alignment/>
      <protection/>
    </xf>
    <xf numFmtId="179" fontId="0" fillId="0" borderId="0" xfId="54" applyNumberFormat="1" applyFont="1">
      <alignment/>
      <protection/>
    </xf>
    <xf numFmtId="0" fontId="20" fillId="0" borderId="0" xfId="0" applyFont="1" applyAlignment="1">
      <alignment/>
    </xf>
    <xf numFmtId="0" fontId="28" fillId="0" borderId="0" xfId="54" applyFont="1" applyFill="1">
      <alignment/>
      <protection/>
    </xf>
    <xf numFmtId="0" fontId="20" fillId="0" borderId="0" xfId="54" applyFont="1" applyFill="1" applyAlignment="1">
      <alignment horizontal="right"/>
      <protection/>
    </xf>
    <xf numFmtId="0" fontId="0" fillId="0" borderId="0" xfId="54" applyFill="1">
      <alignment/>
      <protection/>
    </xf>
    <xf numFmtId="0" fontId="0" fillId="0" borderId="0" xfId="54" applyFont="1" applyFill="1" applyAlignment="1">
      <alignment horizontal="right"/>
      <protection/>
    </xf>
    <xf numFmtId="0" fontId="3" fillId="0" borderId="0" xfId="54" applyFont="1" applyAlignment="1">
      <alignment horizontal="right"/>
      <protection/>
    </xf>
    <xf numFmtId="0" fontId="28" fillId="0" borderId="0" xfId="54" applyFont="1" applyFill="1" applyAlignment="1">
      <alignment horizontal="right"/>
      <protection/>
    </xf>
    <xf numFmtId="0" fontId="29" fillId="0" borderId="51" xfId="54" applyFont="1" applyFill="1" applyBorder="1" applyAlignment="1">
      <alignment horizontal="left" vertical="center" wrapText="1"/>
      <protection/>
    </xf>
    <xf numFmtId="0" fontId="28" fillId="0" borderId="0" xfId="54" applyFont="1" applyFill="1" applyAlignment="1">
      <alignment horizontal="left" wrapText="1"/>
      <protection/>
    </xf>
    <xf numFmtId="49" fontId="28" fillId="0" borderId="0" xfId="54" applyNumberFormat="1" applyFont="1" applyFill="1" applyBorder="1" applyAlignment="1">
      <alignment horizontal="left" vertical="top"/>
      <protection/>
    </xf>
    <xf numFmtId="0" fontId="28" fillId="0" borderId="0" xfId="54" applyFont="1" applyFill="1" applyBorder="1" applyAlignment="1">
      <alignment horizontal="center" vertical="center"/>
      <protection/>
    </xf>
    <xf numFmtId="0" fontId="0" fillId="0" borderId="0" xfId="54" applyFont="1" applyFill="1">
      <alignment/>
      <protection/>
    </xf>
    <xf numFmtId="0" fontId="2" fillId="0" borderId="0" xfId="54" applyFont="1" applyFill="1" applyAlignment="1">
      <alignment horizontal="center" wrapText="1"/>
      <protection/>
    </xf>
    <xf numFmtId="0" fontId="2" fillId="0" borderId="16" xfId="54" applyNumberFormat="1" applyFont="1" applyBorder="1" applyAlignment="1">
      <alignment horizontal="center" vertical="top" wrapText="1"/>
      <protection/>
    </xf>
    <xf numFmtId="0" fontId="2" fillId="0" borderId="21" xfId="54" applyNumberFormat="1" applyFont="1" applyFill="1" applyBorder="1" applyAlignment="1">
      <alignment horizontal="center" vertical="top" wrapText="1"/>
      <protection/>
    </xf>
    <xf numFmtId="0" fontId="0" fillId="0" borderId="0" xfId="54" applyFont="1" applyBorder="1">
      <alignment/>
      <protection/>
    </xf>
    <xf numFmtId="49" fontId="0" fillId="24" borderId="19" xfId="54" applyNumberFormat="1" applyFont="1" applyFill="1" applyBorder="1" applyAlignment="1">
      <alignment horizontal="center" vertical="top" wrapText="1"/>
      <protection/>
    </xf>
    <xf numFmtId="0" fontId="60" fillId="24" borderId="10" xfId="54" applyFont="1" applyFill="1" applyBorder="1" applyAlignment="1">
      <alignment vertical="top" wrapText="1"/>
      <protection/>
    </xf>
    <xf numFmtId="17" fontId="35" fillId="24" borderId="20" xfId="54" applyNumberFormat="1" applyFont="1" applyFill="1" applyBorder="1" applyAlignment="1">
      <alignment horizontal="center" vertical="center" wrapText="1"/>
      <protection/>
    </xf>
    <xf numFmtId="49" fontId="0" fillId="24" borderId="32" xfId="54" applyNumberFormat="1" applyFont="1" applyFill="1" applyBorder="1" applyAlignment="1">
      <alignment horizontal="center" vertical="top" wrapText="1"/>
      <protection/>
    </xf>
    <xf numFmtId="0" fontId="60" fillId="24" borderId="17" xfId="54" applyFont="1" applyFill="1" applyBorder="1" applyAlignment="1">
      <alignment vertical="top" wrapText="1"/>
      <protection/>
    </xf>
    <xf numFmtId="0" fontId="0" fillId="0" borderId="0" xfId="54" applyFont="1" applyFill="1" applyBorder="1" applyAlignment="1">
      <alignment horizontal="center" vertical="center"/>
      <protection/>
    </xf>
    <xf numFmtId="0" fontId="0" fillId="24" borderId="20" xfId="54" applyNumberFormat="1" applyFont="1" applyFill="1" applyBorder="1" applyAlignment="1">
      <alignment horizontal="center" vertical="center" wrapText="1"/>
      <protection/>
    </xf>
    <xf numFmtId="0" fontId="0" fillId="24" borderId="31" xfId="54" applyNumberFormat="1" applyFont="1" applyFill="1" applyBorder="1" applyAlignment="1">
      <alignment horizontal="center" vertical="center" wrapText="1"/>
      <protection/>
    </xf>
    <xf numFmtId="0" fontId="0" fillId="24" borderId="52" xfId="54" applyNumberFormat="1" applyFont="1" applyFill="1" applyBorder="1" applyAlignment="1">
      <alignment horizontal="center" vertical="center" wrapText="1"/>
      <protection/>
    </xf>
    <xf numFmtId="0" fontId="0" fillId="24" borderId="53" xfId="54" applyNumberFormat="1" applyFont="1" applyFill="1" applyBorder="1" applyAlignment="1">
      <alignment horizontal="center" vertical="center" wrapText="1"/>
      <protection/>
    </xf>
    <xf numFmtId="0" fontId="0" fillId="24" borderId="0" xfId="54" applyFont="1" applyFill="1">
      <alignment/>
      <protection/>
    </xf>
    <xf numFmtId="17" fontId="0" fillId="24" borderId="0" xfId="54" applyNumberFormat="1" applyFont="1" applyFill="1" applyBorder="1" applyAlignment="1">
      <alignment horizontal="center" vertical="center" wrapText="1"/>
      <protection/>
    </xf>
    <xf numFmtId="17" fontId="0" fillId="24" borderId="0" xfId="54" applyNumberFormat="1" applyFont="1" applyFill="1" applyBorder="1" applyAlignment="1">
      <alignment horizontal="center" vertical="top" wrapText="1"/>
      <protection/>
    </xf>
    <xf numFmtId="0" fontId="0" fillId="24" borderId="0" xfId="54" applyFont="1" applyFill="1" applyBorder="1">
      <alignment/>
      <protection/>
    </xf>
    <xf numFmtId="17" fontId="0" fillId="24" borderId="0" xfId="54" applyNumberFormat="1" applyFont="1" applyFill="1" applyBorder="1">
      <alignment/>
      <protection/>
    </xf>
    <xf numFmtId="17" fontId="35" fillId="24" borderId="21" xfId="54" applyNumberFormat="1" applyFont="1" applyFill="1" applyBorder="1" applyAlignment="1">
      <alignment horizontal="center" vertical="center" wrapText="1"/>
      <protection/>
    </xf>
    <xf numFmtId="0" fontId="0" fillId="24" borderId="54" xfId="54" applyNumberFormat="1" applyFont="1" applyFill="1" applyBorder="1" applyAlignment="1">
      <alignment horizontal="center" vertical="center" wrapText="1"/>
      <protection/>
    </xf>
    <xf numFmtId="0" fontId="0" fillId="24" borderId="35" xfId="54" applyNumberFormat="1" applyFont="1" applyFill="1" applyBorder="1" applyAlignment="1">
      <alignment horizontal="center" vertical="center" wrapText="1"/>
      <protection/>
    </xf>
    <xf numFmtId="0" fontId="0" fillId="24" borderId="55" xfId="54" applyNumberFormat="1" applyFont="1" applyFill="1" applyBorder="1" applyAlignment="1">
      <alignment horizontal="center" vertical="center" wrapText="1"/>
      <protection/>
    </xf>
    <xf numFmtId="0" fontId="0" fillId="24" borderId="56" xfId="54" applyNumberFormat="1" applyFont="1" applyFill="1" applyBorder="1" applyAlignment="1">
      <alignment horizontal="center" vertical="center" wrapText="1"/>
      <protection/>
    </xf>
    <xf numFmtId="1" fontId="2" fillId="0" borderId="0" xfId="54" applyNumberFormat="1" applyFont="1" applyAlignment="1">
      <alignment horizontal="left" vertical="top"/>
      <protection/>
    </xf>
    <xf numFmtId="0" fontId="36" fillId="0" borderId="0" xfId="54" applyFont="1">
      <alignment/>
      <protection/>
    </xf>
    <xf numFmtId="0" fontId="36" fillId="0" borderId="0" xfId="54" applyFont="1" applyAlignment="1">
      <alignment vertical="center"/>
      <protection/>
    </xf>
    <xf numFmtId="176" fontId="2" fillId="26" borderId="10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vertical="center" wrapText="1"/>
    </xf>
    <xf numFmtId="4" fontId="0" fillId="26" borderId="10" xfId="0" applyNumberFormat="1" applyFont="1" applyFill="1" applyBorder="1" applyAlignment="1">
      <alignment horizontal="right" vertical="center" wrapText="1"/>
    </xf>
    <xf numFmtId="176" fontId="0" fillId="26" borderId="21" xfId="0" applyNumberFormat="1" applyFont="1" applyFill="1" applyBorder="1" applyAlignment="1">
      <alignment horizontal="right" vertical="center" wrapText="1"/>
    </xf>
    <xf numFmtId="176" fontId="0" fillId="0" borderId="0" xfId="0" applyNumberFormat="1" applyFont="1" applyAlignment="1">
      <alignment horizontal="center"/>
    </xf>
    <xf numFmtId="176" fontId="57" fillId="0" borderId="0" xfId="0" applyNumberFormat="1" applyFont="1" applyBorder="1" applyAlignment="1">
      <alignment horizontal="center" vertical="center" wrapText="1"/>
    </xf>
    <xf numFmtId="203" fontId="0" fillId="0" borderId="0" xfId="0" applyNumberFormat="1" applyFont="1" applyAlignment="1">
      <alignment/>
    </xf>
    <xf numFmtId="176" fontId="107" fillId="26" borderId="21" xfId="0" applyNumberFormat="1" applyFont="1" applyFill="1" applyBorder="1" applyAlignment="1">
      <alignment horizontal="right" vertical="center" wrapText="1"/>
    </xf>
    <xf numFmtId="0" fontId="108" fillId="0" borderId="0" xfId="54" applyFont="1">
      <alignment/>
      <protection/>
    </xf>
    <xf numFmtId="0" fontId="106" fillId="0" borderId="11" xfId="0" applyFont="1" applyFill="1" applyBorder="1" applyAlignment="1">
      <alignment horizontal="center" vertical="center" wrapText="1"/>
    </xf>
    <xf numFmtId="179" fontId="0" fillId="0" borderId="0" xfId="0" applyNumberFormat="1" applyFont="1" applyAlignment="1">
      <alignment horizontal="center"/>
    </xf>
    <xf numFmtId="0" fontId="2" fillId="26" borderId="21" xfId="0" applyFont="1" applyFill="1" applyBorder="1" applyAlignment="1">
      <alignment horizontal="center" vertical="center" wrapText="1"/>
    </xf>
    <xf numFmtId="4" fontId="2" fillId="26" borderId="10" xfId="0" applyNumberFormat="1" applyFont="1" applyFill="1" applyBorder="1" applyAlignment="1">
      <alignment horizontal="right" vertical="center" wrapText="1"/>
    </xf>
    <xf numFmtId="0" fontId="0" fillId="26" borderId="0" xfId="0" applyFont="1" applyFill="1" applyBorder="1" applyAlignment="1">
      <alignment horizontal="left" vertical="center" wrapText="1"/>
    </xf>
    <xf numFmtId="0" fontId="0" fillId="26" borderId="0" xfId="0" applyFont="1" applyFill="1" applyAlignment="1">
      <alignment/>
    </xf>
    <xf numFmtId="0" fontId="0" fillId="26" borderId="0" xfId="0" applyFont="1" applyFill="1" applyBorder="1" applyAlignment="1">
      <alignment horizontal="center" vertical="center" wrapText="1"/>
    </xf>
    <xf numFmtId="0" fontId="2" fillId="26" borderId="0" xfId="0" applyFont="1" applyFill="1" applyBorder="1" applyAlignment="1">
      <alignment horizontal="center" vertical="center" wrapText="1"/>
    </xf>
    <xf numFmtId="176" fontId="2" fillId="26" borderId="0" xfId="0" applyNumberFormat="1" applyFont="1" applyFill="1" applyBorder="1" applyAlignment="1">
      <alignment horizontal="center" vertical="center" wrapText="1"/>
    </xf>
    <xf numFmtId="0" fontId="109" fillId="26" borderId="0" xfId="0" applyFont="1" applyFill="1" applyBorder="1" applyAlignment="1">
      <alignment horizontal="center" vertical="center" wrapText="1"/>
    </xf>
    <xf numFmtId="0" fontId="107" fillId="26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79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0" fontId="28" fillId="0" borderId="0" xfId="0" applyFont="1" applyAlignment="1">
      <alignment/>
    </xf>
    <xf numFmtId="179" fontId="110" fillId="0" borderId="0" xfId="0" applyNumberFormat="1" applyFont="1" applyAlignment="1">
      <alignment/>
    </xf>
    <xf numFmtId="179" fontId="111" fillId="0" borderId="0" xfId="0" applyNumberFormat="1" applyFont="1" applyAlignment="1">
      <alignment/>
    </xf>
    <xf numFmtId="181" fontId="111" fillId="0" borderId="0" xfId="0" applyNumberFormat="1" applyFont="1" applyAlignment="1">
      <alignment/>
    </xf>
    <xf numFmtId="0" fontId="62" fillId="0" borderId="0" xfId="54" applyFont="1">
      <alignment/>
      <protection/>
    </xf>
    <xf numFmtId="49" fontId="0" fillId="26" borderId="12" xfId="0" applyNumberFormat="1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left" vertical="center" wrapText="1"/>
    </xf>
    <xf numFmtId="0" fontId="3" fillId="0" borderId="0" xfId="54" applyFont="1">
      <alignment/>
      <protection/>
    </xf>
    <xf numFmtId="0" fontId="106" fillId="26" borderId="22" xfId="0" applyFont="1" applyFill="1" applyBorder="1" applyAlignment="1">
      <alignment horizontal="left" vertical="center" wrapText="1"/>
    </xf>
    <xf numFmtId="0" fontId="0" fillId="26" borderId="22" xfId="0" applyFont="1" applyFill="1" applyBorder="1" applyAlignment="1">
      <alignment horizontal="left" vertical="center" wrapText="1"/>
    </xf>
    <xf numFmtId="179" fontId="20" fillId="0" borderId="0" xfId="0" applyNumberFormat="1" applyFont="1" applyAlignment="1">
      <alignment horizontal="center"/>
    </xf>
    <xf numFmtId="0" fontId="53" fillId="0" borderId="0" xfId="0" applyFont="1" applyAlignment="1">
      <alignment/>
    </xf>
    <xf numFmtId="179" fontId="53" fillId="0" borderId="0" xfId="0" applyNumberFormat="1" applyFont="1" applyAlignment="1">
      <alignment horizontal="center"/>
    </xf>
    <xf numFmtId="179" fontId="112" fillId="0" borderId="0" xfId="0" applyNumberFormat="1" applyFont="1" applyAlignment="1">
      <alignment horizontal="center"/>
    </xf>
    <xf numFmtId="179" fontId="111" fillId="27" borderId="0" xfId="0" applyNumberFormat="1" applyFont="1" applyFill="1" applyAlignment="1">
      <alignment horizontal="center"/>
    </xf>
    <xf numFmtId="0" fontId="53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53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07" fillId="26" borderId="0" xfId="0" applyFont="1" applyFill="1" applyAlignment="1">
      <alignment/>
    </xf>
    <xf numFmtId="176" fontId="0" fillId="26" borderId="0" xfId="0" applyNumberFormat="1" applyFont="1" applyFill="1" applyAlignment="1">
      <alignment horizontal="center"/>
    </xf>
    <xf numFmtId="199" fontId="0" fillId="0" borderId="0" xfId="0" applyNumberFormat="1" applyFont="1" applyAlignment="1">
      <alignment horizontal="center"/>
    </xf>
    <xf numFmtId="0" fontId="2" fillId="26" borderId="10" xfId="54" applyFont="1" applyFill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/>
      <protection/>
    </xf>
    <xf numFmtId="0" fontId="0" fillId="0" borderId="0" xfId="0" applyFont="1" applyBorder="1" applyAlignment="1">
      <alignment horizontal="center" vertical="center"/>
    </xf>
    <xf numFmtId="176" fontId="113" fillId="0" borderId="0" xfId="0" applyNumberFormat="1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12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203" fontId="0" fillId="0" borderId="0" xfId="0" applyNumberFormat="1" applyFont="1" applyAlignment="1">
      <alignment horizontal="center" vertical="center"/>
    </xf>
    <xf numFmtId="176" fontId="57" fillId="0" borderId="0" xfId="0" applyNumberFormat="1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201" fontId="0" fillId="0" borderId="0" xfId="0" applyNumberFormat="1" applyFont="1" applyAlignment="1">
      <alignment horizontal="center" vertical="center"/>
    </xf>
    <xf numFmtId="201" fontId="113" fillId="0" borderId="0" xfId="0" applyNumberFormat="1" applyFont="1" applyAlignment="1">
      <alignment horizontal="center" vertical="center"/>
    </xf>
    <xf numFmtId="0" fontId="28" fillId="0" borderId="57" xfId="54" applyFont="1" applyFill="1" applyBorder="1" applyAlignment="1">
      <alignment horizontal="left" vertical="center" wrapText="1"/>
      <protection/>
    </xf>
    <xf numFmtId="0" fontId="28" fillId="26" borderId="57" xfId="54" applyFont="1" applyFill="1" applyBorder="1" applyAlignment="1">
      <alignment horizontal="left" vertical="center" wrapText="1"/>
      <protection/>
    </xf>
    <xf numFmtId="0" fontId="28" fillId="0" borderId="58" xfId="54" applyFont="1" applyFill="1" applyBorder="1" applyAlignment="1">
      <alignment horizontal="left" vertical="center" wrapText="1"/>
      <protection/>
    </xf>
    <xf numFmtId="0" fontId="28" fillId="0" borderId="51" xfId="54" applyFont="1" applyFill="1" applyBorder="1" applyAlignment="1">
      <alignment horizontal="left" vertical="center" wrapText="1"/>
      <protection/>
    </xf>
    <xf numFmtId="0" fontId="28" fillId="0" borderId="59" xfId="54" applyFont="1" applyFill="1" applyBorder="1" applyAlignment="1">
      <alignment horizontal="left" vertical="center" wrapText="1"/>
      <protection/>
    </xf>
    <xf numFmtId="0" fontId="28" fillId="0" borderId="60" xfId="54" applyFont="1" applyFill="1" applyBorder="1" applyAlignment="1">
      <alignment horizontal="left" vertical="center" wrapText="1"/>
      <protection/>
    </xf>
    <xf numFmtId="0" fontId="29" fillId="0" borderId="57" xfId="54" applyFont="1" applyFill="1" applyBorder="1" applyAlignment="1">
      <alignment horizontal="left" vertical="center"/>
      <protection/>
    </xf>
    <xf numFmtId="0" fontId="29" fillId="0" borderId="57" xfId="54" applyFont="1" applyFill="1" applyBorder="1" applyAlignment="1">
      <alignment horizontal="left" vertical="center" wrapText="1"/>
      <protection/>
    </xf>
    <xf numFmtId="0" fontId="29" fillId="0" borderId="60" xfId="54" applyFont="1" applyFill="1" applyBorder="1" applyAlignment="1">
      <alignment horizontal="left" vertical="center" wrapText="1"/>
      <protection/>
    </xf>
    <xf numFmtId="0" fontId="28" fillId="0" borderId="57" xfId="54" applyFont="1" applyFill="1" applyBorder="1" applyAlignment="1" quotePrefix="1">
      <alignment horizontal="left" vertical="center" wrapText="1"/>
      <protection/>
    </xf>
    <xf numFmtId="0" fontId="28" fillId="0" borderId="60" xfId="54" applyFont="1" applyFill="1" applyBorder="1" applyAlignment="1" quotePrefix="1">
      <alignment horizontal="left" vertical="center" wrapText="1"/>
      <protection/>
    </xf>
    <xf numFmtId="0" fontId="29" fillId="24" borderId="60" xfId="54" applyFont="1" applyFill="1" applyBorder="1" applyAlignment="1">
      <alignment horizontal="left" vertical="center" wrapText="1"/>
      <protection/>
    </xf>
    <xf numFmtId="0" fontId="29" fillId="24" borderId="57" xfId="54" applyFont="1" applyFill="1" applyBorder="1" applyAlignment="1">
      <alignment horizontal="left" vertical="center" wrapText="1"/>
      <protection/>
    </xf>
    <xf numFmtId="0" fontId="29" fillId="24" borderId="51" xfId="54" applyFont="1" applyFill="1" applyBorder="1" applyAlignment="1">
      <alignment horizontal="left" vertical="center" wrapText="1"/>
      <protection/>
    </xf>
    <xf numFmtId="0" fontId="28" fillId="24" borderId="51" xfId="54" applyFont="1" applyFill="1" applyBorder="1" applyAlignment="1">
      <alignment horizontal="left" vertical="center" wrapText="1"/>
      <protection/>
    </xf>
    <xf numFmtId="0" fontId="28" fillId="0" borderId="60" xfId="54" applyFont="1" applyFill="1" applyBorder="1" applyAlignment="1">
      <alignment horizontal="left" vertical="center"/>
      <protection/>
    </xf>
    <xf numFmtId="179" fontId="28" fillId="0" borderId="57" xfId="54" applyNumberFormat="1" applyFont="1" applyFill="1" applyBorder="1" applyAlignment="1">
      <alignment horizontal="left" vertical="center" wrapText="1"/>
      <protection/>
    </xf>
    <xf numFmtId="0" fontId="58" fillId="0" borderId="57" xfId="54" applyFont="1" applyFill="1" applyBorder="1" applyAlignment="1">
      <alignment horizontal="left" vertical="center"/>
      <protection/>
    </xf>
    <xf numFmtId="0" fontId="28" fillId="0" borderId="57" xfId="54" applyFont="1" applyFill="1" applyBorder="1" applyAlignment="1">
      <alignment horizontal="left" vertical="center"/>
      <protection/>
    </xf>
    <xf numFmtId="0" fontId="28" fillId="0" borderId="51" xfId="54" applyFont="1" applyFill="1" applyBorder="1" applyAlignment="1">
      <alignment horizontal="left" vertical="center"/>
      <protection/>
    </xf>
    <xf numFmtId="0" fontId="28" fillId="0" borderId="56" xfId="54" applyFont="1" applyFill="1" applyBorder="1" applyAlignment="1">
      <alignment horizontal="left" vertical="center" wrapText="1"/>
      <protection/>
    </xf>
    <xf numFmtId="0" fontId="28" fillId="24" borderId="56" xfId="54" applyFont="1" applyFill="1" applyBorder="1" applyAlignment="1">
      <alignment horizontal="left" vertical="center" wrapText="1"/>
      <protection/>
    </xf>
    <xf numFmtId="179" fontId="36" fillId="26" borderId="57" xfId="54" applyNumberFormat="1" applyFont="1" applyFill="1" applyBorder="1" applyAlignment="1">
      <alignment horizontal="left" vertical="center" wrapText="1"/>
      <protection/>
    </xf>
    <xf numFmtId="179" fontId="28" fillId="26" borderId="57" xfId="54" applyNumberFormat="1" applyFont="1" applyFill="1" applyBorder="1" applyAlignment="1">
      <alignment horizontal="left" vertical="center" wrapText="1"/>
      <protection/>
    </xf>
    <xf numFmtId="0" fontId="28" fillId="0" borderId="58" xfId="54" applyFont="1" applyFill="1" applyBorder="1" applyAlignment="1" quotePrefix="1">
      <alignment horizontal="left" vertical="center" wrapText="1"/>
      <protection/>
    </xf>
    <xf numFmtId="9" fontId="28" fillId="26" borderId="48" xfId="54" applyNumberFormat="1" applyFont="1" applyFill="1" applyBorder="1" applyAlignment="1">
      <alignment horizontal="left" vertical="center" wrapText="1"/>
      <protection/>
    </xf>
    <xf numFmtId="179" fontId="28" fillId="26" borderId="48" xfId="54" applyNumberFormat="1" applyFont="1" applyFill="1" applyBorder="1" applyAlignment="1">
      <alignment horizontal="left" vertical="center" wrapText="1"/>
      <protection/>
    </xf>
    <xf numFmtId="179" fontId="28" fillId="26" borderId="56" xfId="54" applyNumberFormat="1" applyFont="1" applyFill="1" applyBorder="1" applyAlignment="1">
      <alignment horizontal="left" vertical="center" wrapText="1"/>
      <protection/>
    </xf>
    <xf numFmtId="0" fontId="58" fillId="0" borderId="57" xfId="54" applyFont="1" applyFill="1" applyBorder="1" applyAlignment="1">
      <alignment horizontal="left" vertical="center" wrapText="1"/>
      <protection/>
    </xf>
    <xf numFmtId="0" fontId="114" fillId="0" borderId="0" xfId="54" applyFont="1">
      <alignment/>
      <protection/>
    </xf>
    <xf numFmtId="0" fontId="109" fillId="26" borderId="10" xfId="54" applyFont="1" applyFill="1" applyBorder="1" applyAlignment="1">
      <alignment horizontal="center" vertical="center" wrapText="1"/>
      <protection/>
    </xf>
    <xf numFmtId="0" fontId="0" fillId="26" borderId="10" xfId="54" applyFont="1" applyFill="1" applyBorder="1" applyAlignment="1">
      <alignment horizontal="left" vertical="center" wrapText="1"/>
      <protection/>
    </xf>
    <xf numFmtId="0" fontId="36" fillId="26" borderId="10" xfId="54" applyFont="1" applyFill="1" applyBorder="1" applyAlignment="1">
      <alignment horizontal="center" vertical="center"/>
      <protection/>
    </xf>
    <xf numFmtId="0" fontId="28" fillId="26" borderId="51" xfId="54" applyFont="1" applyFill="1" applyBorder="1" applyAlignment="1">
      <alignment horizontal="left" vertical="center" wrapText="1"/>
      <protection/>
    </xf>
    <xf numFmtId="0" fontId="0" fillId="26" borderId="0" xfId="0" applyFont="1" applyFill="1" applyAlignment="1">
      <alignment horizontal="center" vertical="center"/>
    </xf>
    <xf numFmtId="176" fontId="0" fillId="26" borderId="0" xfId="0" applyNumberFormat="1" applyFont="1" applyFill="1" applyAlignment="1">
      <alignment/>
    </xf>
    <xf numFmtId="2" fontId="0" fillId="26" borderId="0" xfId="0" applyNumberFormat="1" applyFont="1" applyFill="1" applyAlignment="1">
      <alignment vertical="top"/>
    </xf>
    <xf numFmtId="2" fontId="0" fillId="26" borderId="0" xfId="0" applyNumberFormat="1" applyFont="1" applyFill="1" applyAlignment="1">
      <alignment horizontal="center" vertical="center"/>
    </xf>
    <xf numFmtId="0" fontId="2" fillId="26" borderId="0" xfId="0" applyFont="1" applyFill="1" applyAlignment="1">
      <alignment/>
    </xf>
    <xf numFmtId="202" fontId="0" fillId="26" borderId="0" xfId="0" applyNumberFormat="1" applyFont="1" applyFill="1" applyAlignment="1">
      <alignment horizontal="center" vertical="center"/>
    </xf>
    <xf numFmtId="179" fontId="0" fillId="26" borderId="0" xfId="0" applyNumberFormat="1" applyFont="1" applyFill="1" applyAlignment="1">
      <alignment/>
    </xf>
    <xf numFmtId="202" fontId="0" fillId="0" borderId="0" xfId="0" applyNumberFormat="1" applyFont="1" applyFill="1" applyAlignment="1">
      <alignment/>
    </xf>
    <xf numFmtId="176" fontId="0" fillId="0" borderId="0" xfId="54" applyNumberFormat="1" applyFont="1">
      <alignment/>
      <protection/>
    </xf>
    <xf numFmtId="179" fontId="36" fillId="26" borderId="10" xfId="54" applyNumberFormat="1" applyFont="1" applyFill="1" applyBorder="1" applyAlignment="1">
      <alignment horizontal="center" vertical="center"/>
      <protection/>
    </xf>
    <xf numFmtId="176" fontId="106" fillId="26" borderId="10" xfId="54" applyNumberFormat="1" applyFont="1" applyFill="1" applyBorder="1" applyAlignment="1">
      <alignment horizontal="center" wrapText="1"/>
      <protection/>
    </xf>
    <xf numFmtId="0" fontId="2" fillId="26" borderId="10" xfId="54" applyFont="1" applyFill="1" applyBorder="1" applyAlignment="1">
      <alignment horizontal="center"/>
      <protection/>
    </xf>
    <xf numFmtId="2" fontId="28" fillId="0" borderId="57" xfId="54" applyNumberFormat="1" applyFont="1" applyFill="1" applyBorder="1" applyAlignment="1">
      <alignment horizontal="left" vertical="center" wrapText="1"/>
      <protection/>
    </xf>
    <xf numFmtId="199" fontId="0" fillId="26" borderId="0" xfId="0" applyNumberFormat="1" applyFont="1" applyFill="1" applyBorder="1" applyAlignment="1">
      <alignment horizontal="center" vertical="center" wrapText="1"/>
    </xf>
    <xf numFmtId="0" fontId="0" fillId="26" borderId="0" xfId="0" applyFont="1" applyFill="1" applyBorder="1" applyAlignment="1">
      <alignment horizontal="left"/>
    </xf>
    <xf numFmtId="0" fontId="111" fillId="0" borderId="0" xfId="54" applyFont="1">
      <alignment/>
      <protection/>
    </xf>
    <xf numFmtId="176" fontId="111" fillId="0" borderId="0" xfId="54" applyNumberFormat="1" applyFont="1">
      <alignment/>
      <protection/>
    </xf>
    <xf numFmtId="2" fontId="0" fillId="0" borderId="0" xfId="0" applyNumberFormat="1" applyFont="1" applyAlignment="1">
      <alignment horizontal="center"/>
    </xf>
    <xf numFmtId="0" fontId="28" fillId="26" borderId="51" xfId="54" applyFont="1" applyFill="1" applyBorder="1" applyAlignment="1">
      <alignment horizontal="left" vertical="center"/>
      <protection/>
    </xf>
    <xf numFmtId="0" fontId="28" fillId="26" borderId="57" xfId="54" applyFont="1" applyFill="1" applyBorder="1" applyAlignment="1">
      <alignment horizontal="left" vertical="center"/>
      <protection/>
    </xf>
    <xf numFmtId="0" fontId="28" fillId="26" borderId="56" xfId="54" applyFont="1" applyFill="1" applyBorder="1" applyAlignment="1">
      <alignment horizontal="left" vertical="center" wrapText="1"/>
      <protection/>
    </xf>
    <xf numFmtId="0" fontId="28" fillId="26" borderId="59" xfId="54" applyFont="1" applyFill="1" applyBorder="1" applyAlignment="1">
      <alignment horizontal="left" vertical="center" wrapText="1"/>
      <protection/>
    </xf>
    <xf numFmtId="0" fontId="111" fillId="0" borderId="0" xfId="54" applyFont="1" applyFill="1">
      <alignment/>
      <protection/>
    </xf>
    <xf numFmtId="17" fontId="35" fillId="26" borderId="20" xfId="54" applyNumberFormat="1" applyFont="1" applyFill="1" applyBorder="1" applyAlignment="1">
      <alignment horizontal="center" vertical="center" wrapText="1"/>
      <protection/>
    </xf>
    <xf numFmtId="17" fontId="0" fillId="26" borderId="20" xfId="54" applyNumberFormat="1" applyFont="1" applyFill="1" applyBorder="1" applyAlignment="1">
      <alignment horizontal="center" vertical="center" wrapText="1"/>
      <protection/>
    </xf>
    <xf numFmtId="0" fontId="60" fillId="28" borderId="10" xfId="54" applyFont="1" applyFill="1" applyBorder="1" applyAlignment="1">
      <alignment vertical="top" wrapText="1"/>
      <protection/>
    </xf>
    <xf numFmtId="179" fontId="111" fillId="0" borderId="0" xfId="54" applyNumberFormat="1" applyFont="1">
      <alignment/>
      <protection/>
    </xf>
    <xf numFmtId="0" fontId="115" fillId="26" borderId="56" xfId="54" applyFont="1" applyFill="1" applyBorder="1" applyAlignment="1">
      <alignment horizontal="left" vertical="center" wrapText="1"/>
      <protection/>
    </xf>
    <xf numFmtId="0" fontId="115" fillId="26" borderId="58" xfId="54" applyFont="1" applyFill="1" applyBorder="1" applyAlignment="1">
      <alignment vertical="center" wrapText="1"/>
      <protection/>
    </xf>
    <xf numFmtId="0" fontId="115" fillId="26" borderId="57" xfId="54" applyFont="1" applyFill="1" applyBorder="1" applyAlignment="1">
      <alignment horizontal="left" vertical="center" wrapText="1"/>
      <protection/>
    </xf>
    <xf numFmtId="0" fontId="0" fillId="0" borderId="0" xfId="54" applyFill="1" applyAlignment="1">
      <alignment horizontal="center" vertical="center" wrapText="1"/>
      <protection/>
    </xf>
    <xf numFmtId="0" fontId="111" fillId="0" borderId="0" xfId="54" applyFont="1" applyFill="1" applyAlignment="1">
      <alignment horizontal="center" vertical="center" wrapText="1"/>
      <protection/>
    </xf>
    <xf numFmtId="0" fontId="116" fillId="0" borderId="0" xfId="54" applyFont="1" applyFill="1" applyAlignment="1">
      <alignment horizontal="center" vertical="center" wrapText="1"/>
      <protection/>
    </xf>
    <xf numFmtId="0" fontId="117" fillId="0" borderId="0" xfId="42" applyFont="1" applyFill="1" applyAlignment="1" applyProtection="1">
      <alignment horizontal="center" vertical="center" wrapText="1"/>
      <protection/>
    </xf>
    <xf numFmtId="0" fontId="0" fillId="0" borderId="0" xfId="54" applyNumberFormat="1" applyFill="1" applyAlignment="1">
      <alignment horizontal="center" vertical="center" wrapText="1"/>
      <protection/>
    </xf>
    <xf numFmtId="0" fontId="118" fillId="0" borderId="0" xfId="54" applyNumberFormat="1" applyFont="1" applyFill="1" applyAlignment="1">
      <alignment horizontal="center" vertical="center" wrapText="1"/>
      <protection/>
    </xf>
    <xf numFmtId="0" fontId="116" fillId="0" borderId="0" xfId="54" applyNumberFormat="1" applyFont="1" applyFill="1" applyAlignment="1">
      <alignment horizontal="center" vertical="center" wrapText="1"/>
      <protection/>
    </xf>
    <xf numFmtId="0" fontId="117" fillId="0" borderId="0" xfId="42" applyNumberFormat="1" applyFont="1" applyFill="1" applyAlignment="1" applyProtection="1">
      <alignment horizontal="center" vertical="center" wrapText="1"/>
      <protection/>
    </xf>
    <xf numFmtId="0" fontId="119" fillId="0" borderId="0" xfId="54" applyFont="1" applyFill="1" applyAlignment="1">
      <alignment horizontal="center" vertical="center" wrapText="1"/>
      <protection/>
    </xf>
    <xf numFmtId="181" fontId="111" fillId="0" borderId="0" xfId="54" applyNumberFormat="1" applyFont="1" applyFill="1" applyAlignment="1">
      <alignment horizontal="center" vertical="center" wrapText="1"/>
      <protection/>
    </xf>
    <xf numFmtId="179" fontId="0" fillId="0" borderId="0" xfId="54" applyNumberFormat="1" applyFill="1" applyAlignment="1">
      <alignment horizontal="center" vertical="center" wrapText="1"/>
      <protection/>
    </xf>
    <xf numFmtId="0" fontId="120" fillId="0" borderId="0" xfId="54" applyFont="1" applyFill="1" applyAlignment="1">
      <alignment horizontal="center" vertical="center" wrapText="1"/>
      <protection/>
    </xf>
    <xf numFmtId="176" fontId="116" fillId="0" borderId="0" xfId="54" applyNumberFormat="1" applyFont="1" applyFill="1" applyAlignment="1">
      <alignment horizontal="center" vertical="center" wrapText="1"/>
      <protection/>
    </xf>
    <xf numFmtId="179" fontId="116" fillId="0" borderId="0" xfId="54" applyNumberFormat="1" applyFont="1" applyFill="1" applyAlignment="1">
      <alignment horizontal="center" vertical="center" wrapText="1"/>
      <protection/>
    </xf>
    <xf numFmtId="0" fontId="2" fillId="26" borderId="1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 wrapText="1"/>
    </xf>
    <xf numFmtId="0" fontId="121" fillId="0" borderId="0" xfId="54" applyNumberFormat="1" applyFont="1" applyFill="1" applyAlignment="1">
      <alignment horizontal="center" vertical="center" wrapText="1"/>
      <protection/>
    </xf>
    <xf numFmtId="0" fontId="122" fillId="0" borderId="0" xfId="54" applyFont="1" applyFill="1" applyAlignment="1">
      <alignment horizontal="center" vertical="center" wrapText="1"/>
      <protection/>
    </xf>
    <xf numFmtId="0" fontId="122" fillId="0" borderId="0" xfId="54" applyFont="1" applyFill="1">
      <alignment/>
      <protection/>
    </xf>
    <xf numFmtId="0" fontId="121" fillId="0" borderId="0" xfId="54" applyFont="1" applyFill="1">
      <alignment/>
      <protection/>
    </xf>
    <xf numFmtId="0" fontId="121" fillId="0" borderId="0" xfId="54" applyFont="1" applyFill="1" applyAlignment="1">
      <alignment horizontal="center" vertical="center" wrapText="1"/>
      <protection/>
    </xf>
    <xf numFmtId="0" fontId="122" fillId="0" borderId="0" xfId="54" applyFont="1">
      <alignment/>
      <protection/>
    </xf>
    <xf numFmtId="0" fontId="0" fillId="0" borderId="0" xfId="54" applyFont="1" applyAlignment="1">
      <alignment horizontal="center"/>
      <protection/>
    </xf>
    <xf numFmtId="185" fontId="111" fillId="27" borderId="0" xfId="0" applyNumberFormat="1" applyFont="1" applyFill="1" applyAlignment="1">
      <alignment horizontal="center"/>
    </xf>
    <xf numFmtId="176" fontId="123" fillId="0" borderId="0" xfId="54" applyNumberFormat="1" applyFont="1" applyAlignment="1">
      <alignment horizontal="left"/>
      <protection/>
    </xf>
    <xf numFmtId="49" fontId="0" fillId="26" borderId="10" xfId="54" applyNumberFormat="1" applyFont="1" applyFill="1" applyBorder="1" applyAlignment="1">
      <alignment horizontal="center" wrapText="1"/>
      <protection/>
    </xf>
    <xf numFmtId="0" fontId="0" fillId="26" borderId="0" xfId="0" applyFont="1" applyFill="1" applyAlignment="1">
      <alignment horizontal="left" wrapText="1"/>
    </xf>
    <xf numFmtId="0" fontId="109" fillId="26" borderId="10" xfId="0" applyFont="1" applyFill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/>
    </xf>
    <xf numFmtId="176" fontId="123" fillId="0" borderId="0" xfId="0" applyNumberFormat="1" applyFont="1" applyBorder="1" applyAlignment="1">
      <alignment horizontal="center" vertical="center"/>
    </xf>
    <xf numFmtId="0" fontId="28" fillId="26" borderId="60" xfId="54" applyFont="1" applyFill="1" applyBorder="1" applyAlignment="1">
      <alignment horizontal="left" vertical="center" wrapText="1"/>
      <protection/>
    </xf>
    <xf numFmtId="0" fontId="124" fillId="0" borderId="0" xfId="54" applyFont="1" applyFill="1" applyAlignment="1">
      <alignment horizontal="center" vertical="center" wrapText="1"/>
      <protection/>
    </xf>
    <xf numFmtId="0" fontId="124" fillId="0" borderId="0" xfId="42" applyFont="1" applyFill="1" applyAlignment="1" applyProtection="1">
      <alignment horizontal="center" vertical="center" wrapText="1"/>
      <protection/>
    </xf>
    <xf numFmtId="4" fontId="0" fillId="26" borderId="15" xfId="0" applyNumberFormat="1" applyFont="1" applyFill="1" applyBorder="1" applyAlignment="1">
      <alignment horizontal="right" vertical="center" wrapText="1"/>
    </xf>
    <xf numFmtId="200" fontId="0" fillId="26" borderId="0" xfId="0" applyNumberFormat="1" applyFont="1" applyFill="1" applyAlignment="1">
      <alignment/>
    </xf>
    <xf numFmtId="0" fontId="107" fillId="26" borderId="10" xfId="0" applyFont="1" applyFill="1" applyBorder="1" applyAlignment="1">
      <alignment horizontal="left" vertical="center" wrapText="1"/>
    </xf>
    <xf numFmtId="0" fontId="109" fillId="26" borderId="12" xfId="0" applyFont="1" applyFill="1" applyBorder="1" applyAlignment="1">
      <alignment horizontal="center" vertical="center" wrapText="1"/>
    </xf>
    <xf numFmtId="0" fontId="109" fillId="26" borderId="10" xfId="0" applyFont="1" applyFill="1" applyBorder="1" applyAlignment="1">
      <alignment horizontal="left" vertical="center" wrapText="1"/>
    </xf>
    <xf numFmtId="0" fontId="0" fillId="26" borderId="16" xfId="0" applyFont="1" applyFill="1" applyBorder="1" applyAlignment="1">
      <alignment horizontal="center" vertical="center" wrapText="1"/>
    </xf>
    <xf numFmtId="0" fontId="0" fillId="26" borderId="21" xfId="0" applyFont="1" applyFill="1" applyBorder="1" applyAlignment="1">
      <alignment horizontal="center" vertical="center" wrapText="1"/>
    </xf>
    <xf numFmtId="49" fontId="61" fillId="0" borderId="61" xfId="54" applyNumberFormat="1" applyFont="1" applyBorder="1" applyAlignment="1">
      <alignment horizontal="center" vertical="center" wrapText="1"/>
      <protection/>
    </xf>
    <xf numFmtId="17" fontId="0" fillId="26" borderId="15" xfId="54" applyNumberFormat="1" applyFont="1" applyFill="1" applyBorder="1" applyAlignment="1">
      <alignment horizontal="center" vertical="center" wrapText="1"/>
      <protection/>
    </xf>
    <xf numFmtId="0" fontId="0" fillId="26" borderId="31" xfId="54" applyNumberFormat="1" applyFont="1" applyFill="1" applyBorder="1" applyAlignment="1">
      <alignment horizontal="center" vertical="center" wrapText="1"/>
      <protection/>
    </xf>
    <xf numFmtId="17" fontId="35" fillId="24" borderId="10" xfId="54" applyNumberFormat="1" applyFont="1" applyFill="1" applyBorder="1" applyAlignment="1">
      <alignment horizontal="center" vertical="center" wrapText="1"/>
      <protection/>
    </xf>
    <xf numFmtId="17" fontId="20" fillId="26" borderId="15" xfId="54" applyNumberFormat="1" applyFont="1" applyFill="1" applyBorder="1" applyAlignment="1">
      <alignment horizontal="center" vertical="center" wrapText="1"/>
      <protection/>
    </xf>
    <xf numFmtId="17" fontId="111" fillId="24" borderId="0" xfId="54" applyNumberFormat="1" applyFont="1" applyFill="1" applyBorder="1" applyAlignment="1">
      <alignment horizontal="center" vertical="center" wrapText="1"/>
      <protection/>
    </xf>
    <xf numFmtId="0" fontId="60" fillId="26" borderId="10" xfId="54" applyFont="1" applyFill="1" applyBorder="1" applyAlignment="1">
      <alignment vertical="top" wrapText="1"/>
      <protection/>
    </xf>
    <xf numFmtId="0" fontId="0" fillId="0" borderId="20" xfId="54" applyNumberFormat="1" applyFont="1" applyFill="1" applyBorder="1" applyAlignment="1">
      <alignment horizontal="center" vertical="center" wrapText="1"/>
      <protection/>
    </xf>
    <xf numFmtId="0" fontId="0" fillId="0" borderId="31" xfId="54" applyNumberFormat="1" applyFont="1" applyFill="1" applyBorder="1" applyAlignment="1">
      <alignment horizontal="center" vertical="center" wrapText="1"/>
      <protection/>
    </xf>
    <xf numFmtId="0" fontId="0" fillId="0" borderId="52" xfId="54" applyNumberFormat="1" applyFont="1" applyFill="1" applyBorder="1" applyAlignment="1">
      <alignment horizontal="center" vertical="center" wrapText="1"/>
      <protection/>
    </xf>
    <xf numFmtId="0" fontId="0" fillId="0" borderId="53" xfId="54" applyNumberFormat="1" applyFont="1" applyFill="1" applyBorder="1" applyAlignment="1">
      <alignment horizontal="center" vertical="center" wrapText="1"/>
      <protection/>
    </xf>
    <xf numFmtId="17" fontId="0" fillId="0" borderId="0" xfId="54" applyNumberFormat="1" applyFont="1" applyFill="1" applyBorder="1" applyAlignment="1">
      <alignment horizontal="center" vertical="center" wrapText="1"/>
      <protection/>
    </xf>
    <xf numFmtId="17" fontId="111" fillId="0" borderId="0" xfId="54" applyNumberFormat="1" applyFont="1" applyFill="1" applyBorder="1" applyAlignment="1">
      <alignment horizontal="center" vertical="top" wrapText="1"/>
      <protection/>
    </xf>
    <xf numFmtId="17" fontId="0" fillId="0" borderId="0" xfId="54" applyNumberFormat="1" applyFont="1" applyFill="1" applyBorder="1" applyAlignment="1">
      <alignment horizontal="center" vertical="top" wrapText="1"/>
      <protection/>
    </xf>
    <xf numFmtId="0" fontId="60" fillId="26" borderId="10" xfId="54" applyFont="1" applyFill="1" applyBorder="1" applyAlignment="1">
      <alignment horizontal="left" vertical="top" wrapText="1"/>
      <protection/>
    </xf>
    <xf numFmtId="17" fontId="0" fillId="0" borderId="0" xfId="54" applyNumberFormat="1" applyFont="1" applyBorder="1">
      <alignment/>
      <protection/>
    </xf>
    <xf numFmtId="17" fontId="0" fillId="26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NumberFormat="1" applyFont="1" applyFill="1" applyBorder="1" applyAlignment="1">
      <alignment horizontal="center" vertical="center" wrapText="1"/>
      <protection/>
    </xf>
    <xf numFmtId="0" fontId="0" fillId="0" borderId="28" xfId="54" applyNumberFormat="1" applyFont="1" applyFill="1" applyBorder="1" applyAlignment="1">
      <alignment horizontal="center" vertical="center" wrapText="1"/>
      <protection/>
    </xf>
    <xf numFmtId="0" fontId="0" fillId="0" borderId="0" xfId="54" applyNumberFormat="1" applyFont="1" applyFill="1" applyBorder="1" applyAlignment="1">
      <alignment horizontal="center" vertical="center" wrapText="1"/>
      <protection/>
    </xf>
    <xf numFmtId="0" fontId="0" fillId="0" borderId="62" xfId="54" applyNumberFormat="1" applyFont="1" applyFill="1" applyBorder="1" applyAlignment="1">
      <alignment horizontal="center" vertical="center" wrapText="1"/>
      <protection/>
    </xf>
    <xf numFmtId="0" fontId="60" fillId="26" borderId="15" xfId="54" applyFont="1" applyFill="1" applyBorder="1" applyAlignment="1">
      <alignment vertical="top" wrapText="1"/>
      <protection/>
    </xf>
    <xf numFmtId="17" fontId="0" fillId="26" borderId="54" xfId="54" applyNumberFormat="1" applyFont="1" applyFill="1" applyBorder="1" applyAlignment="1">
      <alignment horizontal="center" vertical="center" wrapText="1"/>
      <protection/>
    </xf>
    <xf numFmtId="0" fontId="0" fillId="0" borderId="54" xfId="54" applyNumberFormat="1" applyFont="1" applyFill="1" applyBorder="1" applyAlignment="1">
      <alignment horizontal="center" vertical="center" wrapText="1"/>
      <protection/>
    </xf>
    <xf numFmtId="0" fontId="0" fillId="0" borderId="35" xfId="54" applyNumberFormat="1" applyFont="1" applyFill="1" applyBorder="1" applyAlignment="1">
      <alignment horizontal="center" vertical="center" wrapText="1"/>
      <protection/>
    </xf>
    <xf numFmtId="0" fontId="0" fillId="0" borderId="55" xfId="54" applyNumberFormat="1" applyFont="1" applyFill="1" applyBorder="1" applyAlignment="1">
      <alignment horizontal="center" vertical="center" wrapText="1"/>
      <protection/>
    </xf>
    <xf numFmtId="0" fontId="0" fillId="0" borderId="56" xfId="54" applyNumberFormat="1" applyFont="1" applyFill="1" applyBorder="1" applyAlignment="1">
      <alignment horizontal="center" vertical="center" wrapText="1"/>
      <protection/>
    </xf>
    <xf numFmtId="0" fontId="0" fillId="26" borderId="52" xfId="54" applyNumberFormat="1" applyFont="1" applyFill="1" applyBorder="1" applyAlignment="1">
      <alignment horizontal="center" vertical="center" wrapText="1"/>
      <protection/>
    </xf>
    <xf numFmtId="0" fontId="0" fillId="26" borderId="53" xfId="54" applyNumberFormat="1" applyFont="1" applyFill="1" applyBorder="1" applyAlignment="1">
      <alignment horizontal="center" vertical="center" wrapText="1"/>
      <protection/>
    </xf>
    <xf numFmtId="49" fontId="61" fillId="24" borderId="10" xfId="54" applyNumberFormat="1" applyFont="1" applyFill="1" applyBorder="1" applyAlignment="1">
      <alignment horizontal="center" vertical="center" wrapText="1"/>
      <protection/>
    </xf>
    <xf numFmtId="17" fontId="111" fillId="0" borderId="0" xfId="54" applyNumberFormat="1" applyFont="1" applyFill="1" applyBorder="1" applyAlignment="1">
      <alignment horizontal="center" vertical="center" wrapText="1"/>
      <protection/>
    </xf>
    <xf numFmtId="17" fontId="20" fillId="26" borderId="10" xfId="54" applyNumberFormat="1" applyFont="1" applyFill="1" applyBorder="1" applyAlignment="1">
      <alignment horizontal="center" vertical="center" wrapText="1"/>
      <protection/>
    </xf>
    <xf numFmtId="0" fontId="36" fillId="26" borderId="10" xfId="54" applyFont="1" applyFill="1" applyBorder="1" applyAlignment="1">
      <alignment vertical="center" wrapText="1"/>
      <protection/>
    </xf>
    <xf numFmtId="0" fontId="28" fillId="26" borderId="10" xfId="54" applyFont="1" applyFill="1" applyBorder="1" applyAlignment="1">
      <alignment horizontal="center" vertical="center"/>
      <protection/>
    </xf>
    <xf numFmtId="176" fontId="123" fillId="0" borderId="0" xfId="54" applyNumberFormat="1" applyFont="1" applyBorder="1">
      <alignment/>
      <protection/>
    </xf>
    <xf numFmtId="179" fontId="0" fillId="26" borderId="10" xfId="54" applyNumberFormat="1" applyFont="1" applyFill="1" applyBorder="1" applyAlignment="1">
      <alignment horizontal="center" wrapText="1"/>
      <protection/>
    </xf>
    <xf numFmtId="0" fontId="0" fillId="26" borderId="12" xfId="0" applyFont="1" applyFill="1" applyBorder="1" applyAlignment="1">
      <alignment horizontal="center" vertical="center"/>
    </xf>
    <xf numFmtId="176" fontId="107" fillId="26" borderId="0" xfId="0" applyNumberFormat="1" applyFont="1" applyFill="1" applyAlignment="1">
      <alignment/>
    </xf>
    <xf numFmtId="176" fontId="0" fillId="26" borderId="0" xfId="0" applyNumberFormat="1" applyFont="1" applyFill="1" applyAlignment="1">
      <alignment horizontal="center" vertical="center"/>
    </xf>
    <xf numFmtId="179" fontId="0" fillId="0" borderId="0" xfId="54" applyNumberFormat="1" applyFill="1">
      <alignment/>
      <protection/>
    </xf>
    <xf numFmtId="176" fontId="125" fillId="26" borderId="0" xfId="0" applyNumberFormat="1" applyFont="1" applyFill="1" applyAlignment="1">
      <alignment/>
    </xf>
    <xf numFmtId="0" fontId="125" fillId="26" borderId="0" xfId="0" applyFont="1" applyFill="1" applyAlignment="1">
      <alignment/>
    </xf>
    <xf numFmtId="2" fontId="125" fillId="26" borderId="0" xfId="0" applyNumberFormat="1" applyFont="1" applyFill="1" applyAlignment="1">
      <alignment vertical="top" wrapText="1"/>
    </xf>
    <xf numFmtId="2" fontId="125" fillId="26" borderId="0" xfId="0" applyNumberFormat="1" applyFont="1" applyFill="1" applyAlignment="1">
      <alignment horizontal="center" vertical="top" wrapText="1"/>
    </xf>
    <xf numFmtId="2" fontId="125" fillId="26" borderId="0" xfId="0" applyNumberFormat="1" applyFont="1" applyFill="1" applyAlignment="1">
      <alignment horizontal="center" vertical="top"/>
    </xf>
    <xf numFmtId="179" fontId="125" fillId="26" borderId="0" xfId="0" applyNumberFormat="1" applyFont="1" applyFill="1" applyAlignment="1">
      <alignment horizontal="center" vertical="center"/>
    </xf>
    <xf numFmtId="2" fontId="125" fillId="26" borderId="0" xfId="0" applyNumberFormat="1" applyFont="1" applyFill="1" applyAlignment="1">
      <alignment horizontal="center" vertical="center"/>
    </xf>
    <xf numFmtId="204" fontId="111" fillId="0" borderId="0" xfId="0" applyNumberFormat="1" applyFont="1" applyAlignment="1">
      <alignment/>
    </xf>
    <xf numFmtId="4" fontId="0" fillId="0" borderId="0" xfId="54" applyNumberFormat="1" applyFill="1" applyAlignment="1">
      <alignment horizontal="center" vertical="center" wrapText="1"/>
      <protection/>
    </xf>
    <xf numFmtId="0" fontId="28" fillId="26" borderId="58" xfId="54" applyFont="1" applyFill="1" applyBorder="1" applyAlignment="1">
      <alignment horizontal="left" vertical="center" wrapText="1"/>
      <protection/>
    </xf>
    <xf numFmtId="49" fontId="0" fillId="24" borderId="30" xfId="54" applyNumberFormat="1" applyFont="1" applyFill="1" applyBorder="1" applyAlignment="1">
      <alignment horizontal="center" vertical="top" wrapText="1"/>
      <protection/>
    </xf>
    <xf numFmtId="0" fontId="60" fillId="26" borderId="50" xfId="54" applyFont="1" applyFill="1" applyBorder="1" applyAlignment="1">
      <alignment vertical="top" wrapText="1"/>
      <protection/>
    </xf>
    <xf numFmtId="17" fontId="0" fillId="26" borderId="25" xfId="54" applyNumberFormat="1" applyFont="1" applyFill="1" applyBorder="1" applyAlignment="1">
      <alignment horizontal="center" vertical="center" wrapText="1"/>
      <protection/>
    </xf>
    <xf numFmtId="17" fontId="35" fillId="26" borderId="50" xfId="54" applyNumberFormat="1" applyFont="1" applyFill="1" applyBorder="1" applyAlignment="1">
      <alignment horizontal="center" vertical="center" wrapText="1"/>
      <protection/>
    </xf>
    <xf numFmtId="0" fontId="0" fillId="0" borderId="50" xfId="54" applyNumberFormat="1" applyFont="1" applyFill="1" applyBorder="1" applyAlignment="1">
      <alignment horizontal="center" vertical="center" wrapText="1"/>
      <protection/>
    </xf>
    <xf numFmtId="0" fontId="0" fillId="0" borderId="25" xfId="54" applyNumberFormat="1" applyFont="1" applyFill="1" applyBorder="1" applyAlignment="1">
      <alignment horizontal="center" vertical="center" wrapText="1"/>
      <protection/>
    </xf>
    <xf numFmtId="0" fontId="0" fillId="0" borderId="63" xfId="54" applyNumberFormat="1" applyFont="1" applyFill="1" applyBorder="1" applyAlignment="1">
      <alignment horizontal="center" vertical="center" wrapText="1"/>
      <protection/>
    </xf>
    <xf numFmtId="0" fontId="0" fillId="0" borderId="64" xfId="54" applyNumberFormat="1" applyFont="1" applyFill="1" applyBorder="1" applyAlignment="1">
      <alignment horizontal="center" vertical="center" wrapText="1"/>
      <protection/>
    </xf>
    <xf numFmtId="0" fontId="60" fillId="26" borderId="17" xfId="54" applyFont="1" applyFill="1" applyBorder="1" applyAlignment="1">
      <alignment vertical="top" wrapText="1"/>
      <protection/>
    </xf>
    <xf numFmtId="17" fontId="0" fillId="26" borderId="17" xfId="54" applyNumberFormat="1" applyFont="1" applyFill="1" applyBorder="1" applyAlignment="1">
      <alignment horizontal="center" vertical="center" wrapText="1"/>
      <protection/>
    </xf>
    <xf numFmtId="4" fontId="2" fillId="26" borderId="15" xfId="0" applyNumberFormat="1" applyFont="1" applyFill="1" applyBorder="1" applyAlignment="1">
      <alignment horizontal="right" vertical="center" wrapText="1"/>
    </xf>
    <xf numFmtId="0" fontId="2" fillId="26" borderId="22" xfId="0" applyFont="1" applyFill="1" applyBorder="1" applyAlignment="1">
      <alignment horizontal="left" vertical="center" wrapText="1"/>
    </xf>
    <xf numFmtId="204" fontId="126" fillId="0" borderId="0" xfId="0" applyNumberFormat="1" applyFont="1" applyAlignment="1">
      <alignment/>
    </xf>
    <xf numFmtId="179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181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99" fontId="2" fillId="0" borderId="0" xfId="0" applyNumberFormat="1" applyFont="1" applyAlignment="1">
      <alignment horizontal="center"/>
    </xf>
    <xf numFmtId="179" fontId="61" fillId="0" borderId="0" xfId="0" applyNumberFormat="1" applyFont="1" applyAlignment="1">
      <alignment horizontal="center"/>
    </xf>
    <xf numFmtId="179" fontId="127" fillId="0" borderId="0" xfId="0" applyNumberFormat="1" applyFont="1" applyAlignment="1">
      <alignment horizontal="center"/>
    </xf>
    <xf numFmtId="179" fontId="54" fillId="0" borderId="0" xfId="0" applyNumberFormat="1" applyFont="1" applyAlignment="1">
      <alignment horizontal="center"/>
    </xf>
    <xf numFmtId="0" fontId="128" fillId="26" borderId="22" xfId="0" applyFont="1" applyFill="1" applyBorder="1" applyAlignment="1">
      <alignment horizontal="left" vertical="center" wrapText="1"/>
    </xf>
    <xf numFmtId="181" fontId="126" fillId="0" borderId="0" xfId="0" applyNumberFormat="1" applyFont="1" applyAlignment="1">
      <alignment/>
    </xf>
    <xf numFmtId="204" fontId="111" fillId="26" borderId="0" xfId="0" applyNumberFormat="1" applyFont="1" applyFill="1" applyAlignment="1">
      <alignment/>
    </xf>
    <xf numFmtId="0" fontId="0" fillId="26" borderId="0" xfId="0" applyFont="1" applyFill="1" applyAlignment="1">
      <alignment horizontal="center"/>
    </xf>
    <xf numFmtId="181" fontId="0" fillId="26" borderId="0" xfId="0" applyNumberFormat="1" applyFont="1" applyFill="1" applyAlignment="1">
      <alignment/>
    </xf>
    <xf numFmtId="199" fontId="0" fillId="26" borderId="0" xfId="0" applyNumberFormat="1" applyFont="1" applyFill="1" applyAlignment="1">
      <alignment horizontal="center"/>
    </xf>
    <xf numFmtId="179" fontId="0" fillId="26" borderId="0" xfId="0" applyNumberFormat="1" applyFont="1" applyFill="1" applyAlignment="1">
      <alignment horizontal="center"/>
    </xf>
    <xf numFmtId="179" fontId="20" fillId="26" borderId="0" xfId="0" applyNumberFormat="1" applyFont="1" applyFill="1" applyAlignment="1">
      <alignment horizontal="center"/>
    </xf>
    <xf numFmtId="179" fontId="112" fillId="26" borderId="0" xfId="0" applyNumberFormat="1" applyFont="1" applyFill="1" applyAlignment="1">
      <alignment horizontal="center"/>
    </xf>
    <xf numFmtId="179" fontId="53" fillId="26" borderId="0" xfId="0" applyNumberFormat="1" applyFont="1" applyFill="1" applyAlignment="1">
      <alignment horizontal="center"/>
    </xf>
    <xf numFmtId="0" fontId="2" fillId="26" borderId="22" xfId="0" applyFont="1" applyFill="1" applyBorder="1" applyAlignment="1">
      <alignment horizontal="center" vertical="center" wrapText="1"/>
    </xf>
    <xf numFmtId="204" fontId="126" fillId="26" borderId="0" xfId="0" applyNumberFormat="1" applyFont="1" applyFill="1" applyAlignment="1">
      <alignment/>
    </xf>
    <xf numFmtId="0" fontId="2" fillId="26" borderId="0" xfId="0" applyFont="1" applyFill="1" applyAlignment="1">
      <alignment horizontal="center"/>
    </xf>
    <xf numFmtId="176" fontId="2" fillId="26" borderId="0" xfId="0" applyNumberFormat="1" applyFont="1" applyFill="1" applyAlignment="1">
      <alignment horizontal="center"/>
    </xf>
    <xf numFmtId="181" fontId="2" fillId="26" borderId="0" xfId="0" applyNumberFormat="1" applyFont="1" applyFill="1" applyAlignment="1">
      <alignment/>
    </xf>
    <xf numFmtId="176" fontId="2" fillId="26" borderId="0" xfId="0" applyNumberFormat="1" applyFont="1" applyFill="1" applyAlignment="1">
      <alignment/>
    </xf>
    <xf numFmtId="179" fontId="2" fillId="26" borderId="0" xfId="0" applyNumberFormat="1" applyFont="1" applyFill="1" applyAlignment="1">
      <alignment/>
    </xf>
    <xf numFmtId="199" fontId="2" fillId="26" borderId="0" xfId="0" applyNumberFormat="1" applyFont="1" applyFill="1" applyAlignment="1">
      <alignment horizontal="center"/>
    </xf>
    <xf numFmtId="179" fontId="2" fillId="26" borderId="0" xfId="0" applyNumberFormat="1" applyFont="1" applyFill="1" applyAlignment="1">
      <alignment horizontal="center"/>
    </xf>
    <xf numFmtId="179" fontId="61" fillId="26" borderId="0" xfId="0" applyNumberFormat="1" applyFont="1" applyFill="1" applyAlignment="1">
      <alignment horizontal="center"/>
    </xf>
    <xf numFmtId="179" fontId="127" fillId="26" borderId="0" xfId="0" applyNumberFormat="1" applyFont="1" applyFill="1" applyAlignment="1">
      <alignment horizontal="center"/>
    </xf>
    <xf numFmtId="179" fontId="54" fillId="26" borderId="0" xfId="0" applyNumberFormat="1" applyFont="1" applyFill="1" applyAlignment="1">
      <alignment horizontal="center"/>
    </xf>
    <xf numFmtId="0" fontId="20" fillId="0" borderId="0" xfId="0" applyFont="1" applyAlignment="1">
      <alignment horizontal="center"/>
    </xf>
    <xf numFmtId="0" fontId="129" fillId="0" borderId="0" xfId="0" applyFont="1" applyFill="1" applyBorder="1" applyAlignment="1">
      <alignment horizontal="left" vertical="center"/>
    </xf>
    <xf numFmtId="0" fontId="129" fillId="0" borderId="0" xfId="0" applyFont="1" applyAlignment="1">
      <alignment/>
    </xf>
    <xf numFmtId="176" fontId="129" fillId="0" borderId="0" xfId="0" applyNumberFormat="1" applyFont="1" applyAlignment="1">
      <alignment/>
    </xf>
    <xf numFmtId="0" fontId="129" fillId="0" borderId="0" xfId="0" applyFont="1" applyAlignment="1">
      <alignment horizontal="center"/>
    </xf>
    <xf numFmtId="176" fontId="130" fillId="0" borderId="0" xfId="0" applyNumberFormat="1" applyFont="1" applyAlignment="1">
      <alignment/>
    </xf>
    <xf numFmtId="176" fontId="0" fillId="29" borderId="10" xfId="0" applyNumberFormat="1" applyFont="1" applyFill="1" applyBorder="1" applyAlignment="1">
      <alignment horizontal="right" vertical="center" wrapText="1"/>
    </xf>
    <xf numFmtId="185" fontId="130" fillId="26" borderId="0" xfId="0" applyNumberFormat="1" applyFont="1" applyFill="1" applyBorder="1" applyAlignment="1">
      <alignment horizontal="center" vertical="top"/>
    </xf>
    <xf numFmtId="176" fontId="107" fillId="26" borderId="20" xfId="0" applyNumberFormat="1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 wrapText="1"/>
    </xf>
    <xf numFmtId="176" fontId="107" fillId="26" borderId="10" xfId="0" applyNumberFormat="1" applyFont="1" applyFill="1" applyBorder="1" applyAlignment="1">
      <alignment horizontal="center" vertical="center" wrapText="1"/>
    </xf>
    <xf numFmtId="176" fontId="0" fillId="26" borderId="10" xfId="0" applyNumberFormat="1" applyFont="1" applyFill="1" applyBorder="1" applyAlignment="1">
      <alignment horizontal="center" vertical="center" wrapText="1"/>
    </xf>
    <xf numFmtId="176" fontId="109" fillId="26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176" fontId="106" fillId="26" borderId="10" xfId="0" applyNumberFormat="1" applyFont="1" applyFill="1" applyBorder="1" applyAlignment="1">
      <alignment horizontal="center" vertical="center" wrapText="1"/>
    </xf>
    <xf numFmtId="176" fontId="0" fillId="26" borderId="21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176" fontId="0" fillId="26" borderId="20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center"/>
    </xf>
    <xf numFmtId="176" fontId="0" fillId="26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176" fontId="0" fillId="0" borderId="21" xfId="0" applyNumberFormat="1" applyFont="1" applyFill="1" applyBorder="1" applyAlignment="1">
      <alignment horizontal="center"/>
    </xf>
    <xf numFmtId="176" fontId="0" fillId="26" borderId="21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176" fontId="109" fillId="0" borderId="20" xfId="0" applyNumberFormat="1" applyFont="1" applyBorder="1" applyAlignment="1">
      <alignment horizontal="center"/>
    </xf>
    <xf numFmtId="176" fontId="109" fillId="26" borderId="20" xfId="0" applyNumberFormat="1" applyFont="1" applyFill="1" applyBorder="1" applyAlignment="1">
      <alignment horizontal="center"/>
    </xf>
    <xf numFmtId="176" fontId="2" fillId="26" borderId="20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26" borderId="21" xfId="0" applyFont="1" applyFill="1" applyBorder="1" applyAlignment="1">
      <alignment horizontal="center"/>
    </xf>
    <xf numFmtId="0" fontId="131" fillId="0" borderId="0" xfId="0" applyFont="1" applyAlignment="1">
      <alignment/>
    </xf>
    <xf numFmtId="0" fontId="131" fillId="0" borderId="0" xfId="0" applyFont="1" applyBorder="1" applyAlignment="1">
      <alignment horizontal="center" vertical="center" wrapText="1"/>
    </xf>
    <xf numFmtId="0" fontId="131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3" fontId="20" fillId="0" borderId="0" xfId="0" applyNumberFormat="1" applyFont="1" applyAlignment="1">
      <alignment horizontal="center"/>
    </xf>
    <xf numFmtId="3" fontId="131" fillId="0" borderId="0" xfId="0" applyNumberFormat="1" applyFont="1" applyBorder="1" applyAlignment="1">
      <alignment horizontal="center" vertical="center" wrapText="1"/>
    </xf>
    <xf numFmtId="3" fontId="131" fillId="0" borderId="0" xfId="0" applyNumberFormat="1" applyFont="1" applyAlignment="1">
      <alignment horizontal="center" vertical="center"/>
    </xf>
    <xf numFmtId="0" fontId="132" fillId="0" borderId="0" xfId="0" applyFont="1" applyAlignment="1">
      <alignment/>
    </xf>
    <xf numFmtId="3" fontId="132" fillId="0" borderId="0" xfId="0" applyNumberFormat="1" applyFont="1" applyBorder="1" applyAlignment="1">
      <alignment horizontal="center" vertical="center" wrapText="1"/>
    </xf>
    <xf numFmtId="0" fontId="132" fillId="0" borderId="0" xfId="0" applyFont="1" applyBorder="1" applyAlignment="1">
      <alignment horizontal="center" vertical="center" wrapText="1"/>
    </xf>
    <xf numFmtId="176" fontId="132" fillId="0" borderId="0" xfId="0" applyNumberFormat="1" applyFont="1" applyAlignment="1">
      <alignment horizontal="center"/>
    </xf>
    <xf numFmtId="176" fontId="132" fillId="0" borderId="0" xfId="0" applyNumberFormat="1" applyFont="1" applyBorder="1" applyAlignment="1">
      <alignment horizontal="center" vertical="center" wrapText="1"/>
    </xf>
    <xf numFmtId="3" fontId="132" fillId="0" borderId="0" xfId="0" applyNumberFormat="1" applyFont="1" applyAlignment="1">
      <alignment horizontal="center"/>
    </xf>
    <xf numFmtId="3" fontId="133" fillId="0" borderId="0" xfId="0" applyNumberFormat="1" applyFont="1" applyFill="1" applyBorder="1" applyAlignment="1">
      <alignment horizontal="center" vertical="center" wrapText="1"/>
    </xf>
    <xf numFmtId="0" fontId="133" fillId="0" borderId="0" xfId="0" applyFont="1" applyFill="1" applyBorder="1" applyAlignment="1">
      <alignment horizontal="center" vertical="center" wrapText="1"/>
    </xf>
    <xf numFmtId="3" fontId="132" fillId="0" borderId="0" xfId="0" applyNumberFormat="1" applyFont="1" applyFill="1" applyBorder="1" applyAlignment="1">
      <alignment horizontal="center" vertical="center" wrapText="1"/>
    </xf>
    <xf numFmtId="0" fontId="132" fillId="0" borderId="0" xfId="0" applyFont="1" applyFill="1" applyBorder="1" applyAlignment="1">
      <alignment horizontal="center" vertical="center" wrapText="1"/>
    </xf>
    <xf numFmtId="0" fontId="133" fillId="0" borderId="0" xfId="0" applyFont="1" applyAlignment="1">
      <alignment horizontal="center" vertical="center"/>
    </xf>
    <xf numFmtId="179" fontId="132" fillId="0" borderId="0" xfId="0" applyNumberFormat="1" applyFont="1" applyAlignment="1">
      <alignment horizontal="center"/>
    </xf>
    <xf numFmtId="0" fontId="132" fillId="0" borderId="0" xfId="0" applyFont="1" applyAlignment="1">
      <alignment horizontal="center" vertical="center"/>
    </xf>
    <xf numFmtId="0" fontId="134" fillId="0" borderId="0" xfId="0" applyFont="1" applyAlignment="1">
      <alignment/>
    </xf>
    <xf numFmtId="0" fontId="134" fillId="0" borderId="0" xfId="0" applyFont="1" applyFill="1" applyBorder="1" applyAlignment="1">
      <alignment horizontal="center" vertical="center" wrapText="1"/>
    </xf>
    <xf numFmtId="3" fontId="134" fillId="0" borderId="0" xfId="0" applyNumberFormat="1" applyFont="1" applyFill="1" applyBorder="1" applyAlignment="1">
      <alignment horizontal="center" vertical="center" wrapText="1"/>
    </xf>
    <xf numFmtId="3" fontId="133" fillId="0" borderId="0" xfId="0" applyNumberFormat="1" applyFont="1" applyAlignment="1">
      <alignment horizontal="center"/>
    </xf>
    <xf numFmtId="0" fontId="133" fillId="0" borderId="0" xfId="0" applyFont="1" applyAlignment="1">
      <alignment/>
    </xf>
    <xf numFmtId="0" fontId="135" fillId="0" borderId="0" xfId="0" applyFont="1" applyAlignment="1">
      <alignment horizontal="left"/>
    </xf>
    <xf numFmtId="0" fontId="61" fillId="0" borderId="0" xfId="0" applyFont="1" applyAlignment="1">
      <alignment/>
    </xf>
    <xf numFmtId="176" fontId="135" fillId="0" borderId="0" xfId="0" applyNumberFormat="1" applyFont="1" applyBorder="1" applyAlignment="1">
      <alignment horizontal="center" vertical="center" wrapText="1"/>
    </xf>
    <xf numFmtId="179" fontId="129" fillId="0" borderId="0" xfId="0" applyNumberFormat="1" applyFont="1" applyAlignment="1">
      <alignment horizontal="center"/>
    </xf>
    <xf numFmtId="0" fontId="129" fillId="0" borderId="0" xfId="0" applyFont="1" applyAlignment="1">
      <alignment horizontal="center" vertical="center"/>
    </xf>
    <xf numFmtId="176" fontId="132" fillId="0" borderId="0" xfId="0" applyNumberFormat="1" applyFont="1" applyAlignment="1">
      <alignment/>
    </xf>
    <xf numFmtId="3" fontId="131" fillId="0" borderId="0" xfId="0" applyNumberFormat="1" applyFont="1" applyAlignment="1">
      <alignment horizontal="center"/>
    </xf>
    <xf numFmtId="0" fontId="132" fillId="0" borderId="0" xfId="0" applyFont="1" applyAlignment="1">
      <alignment horizontal="center"/>
    </xf>
    <xf numFmtId="179" fontId="132" fillId="0" borderId="0" xfId="0" applyNumberFormat="1" applyFont="1" applyBorder="1" applyAlignment="1">
      <alignment horizontal="center" vertical="center" wrapText="1"/>
    </xf>
    <xf numFmtId="185" fontId="129" fillId="0" borderId="0" xfId="0" applyNumberFormat="1" applyFont="1" applyAlignment="1">
      <alignment horizontal="left"/>
    </xf>
    <xf numFmtId="2" fontId="129" fillId="0" borderId="0" xfId="0" applyNumberFormat="1" applyFont="1" applyAlignment="1">
      <alignment horizontal="center" vertical="top" wrapText="1"/>
    </xf>
    <xf numFmtId="2" fontId="129" fillId="0" borderId="0" xfId="0" applyNumberFormat="1" applyFont="1" applyAlignment="1">
      <alignment horizontal="center" vertical="top"/>
    </xf>
    <xf numFmtId="179" fontId="20" fillId="0" borderId="0" xfId="0" applyNumberFormat="1" applyFont="1" applyAlignment="1">
      <alignment horizontal="center" vertical="top"/>
    </xf>
    <xf numFmtId="2" fontId="129" fillId="0" borderId="0" xfId="0" applyNumberFormat="1" applyFont="1" applyAlignment="1">
      <alignment/>
    </xf>
    <xf numFmtId="2" fontId="129" fillId="0" borderId="0" xfId="0" applyNumberFormat="1" applyFont="1" applyAlignment="1">
      <alignment horizontal="center"/>
    </xf>
    <xf numFmtId="2" fontId="61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2" fontId="28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129" fillId="0" borderId="0" xfId="0" applyNumberFormat="1" applyFont="1" applyBorder="1" applyAlignment="1">
      <alignment horizontal="center" vertical="top"/>
    </xf>
    <xf numFmtId="0" fontId="65" fillId="26" borderId="0" xfId="0" applyFont="1" applyFill="1" applyAlignment="1">
      <alignment/>
    </xf>
    <xf numFmtId="0" fontId="130" fillId="0" borderId="0" xfId="0" applyFont="1" applyAlignment="1">
      <alignment/>
    </xf>
    <xf numFmtId="199" fontId="130" fillId="29" borderId="0" xfId="0" applyNumberFormat="1" applyFont="1" applyFill="1" applyAlignment="1">
      <alignment horizontal="center"/>
    </xf>
    <xf numFmtId="198" fontId="129" fillId="0" borderId="0" xfId="0" applyNumberFormat="1" applyFont="1" applyAlignment="1">
      <alignment horizontal="center"/>
    </xf>
    <xf numFmtId="4" fontId="129" fillId="26" borderId="0" xfId="0" applyNumberFormat="1" applyFont="1" applyFill="1" applyAlignment="1">
      <alignment horizontal="center" vertical="center"/>
    </xf>
    <xf numFmtId="4" fontId="129" fillId="0" borderId="0" xfId="0" applyNumberFormat="1" applyFont="1" applyAlignment="1">
      <alignment horizontal="center"/>
    </xf>
    <xf numFmtId="4" fontId="136" fillId="0" borderId="0" xfId="0" applyNumberFormat="1" applyFont="1" applyAlignment="1">
      <alignment horizontal="center" vertical="top"/>
    </xf>
    <xf numFmtId="4" fontId="129" fillId="0" borderId="0" xfId="0" applyNumberFormat="1" applyFont="1" applyAlignment="1">
      <alignment horizontal="center" vertical="top" wrapText="1"/>
    </xf>
    <xf numFmtId="4" fontId="129" fillId="26" borderId="0" xfId="0" applyNumberFormat="1" applyFont="1" applyFill="1" applyAlignment="1">
      <alignment horizontal="center"/>
    </xf>
    <xf numFmtId="4" fontId="129" fillId="26" borderId="0" xfId="0" applyNumberFormat="1" applyFont="1" applyFill="1" applyAlignment="1">
      <alignment horizontal="center" vertical="top"/>
    </xf>
    <xf numFmtId="198" fontId="129" fillId="0" borderId="0" xfId="0" applyNumberFormat="1" applyFont="1" applyAlignment="1">
      <alignment horizontal="center" vertical="top" wrapText="1"/>
    </xf>
    <xf numFmtId="176" fontId="123" fillId="26" borderId="10" xfId="0" applyNumberFormat="1" applyFont="1" applyFill="1" applyBorder="1" applyAlignment="1">
      <alignment horizontal="right" vertical="center" wrapText="1"/>
    </xf>
    <xf numFmtId="176" fontId="0" fillId="30" borderId="10" xfId="0" applyNumberFormat="1" applyFont="1" applyFill="1" applyBorder="1" applyAlignment="1">
      <alignment horizontal="right" vertical="center" wrapText="1"/>
    </xf>
    <xf numFmtId="0" fontId="29" fillId="26" borderId="57" xfId="54" applyFont="1" applyFill="1" applyBorder="1" applyAlignment="1">
      <alignment horizontal="left" vertical="center" wrapText="1"/>
      <protection/>
    </xf>
    <xf numFmtId="0" fontId="20" fillId="26" borderId="0" xfId="0" applyFont="1" applyFill="1" applyAlignment="1">
      <alignment/>
    </xf>
    <xf numFmtId="0" fontId="129" fillId="26" borderId="0" xfId="0" applyFont="1" applyFill="1" applyAlignment="1">
      <alignment/>
    </xf>
    <xf numFmtId="0" fontId="0" fillId="26" borderId="22" xfId="0" applyFont="1" applyFill="1" applyBorder="1" applyAlignment="1">
      <alignment horizontal="center" vertical="center" wrapText="1"/>
    </xf>
    <xf numFmtId="199" fontId="130" fillId="26" borderId="0" xfId="0" applyNumberFormat="1" applyFont="1" applyFill="1" applyAlignment="1">
      <alignment horizontal="center"/>
    </xf>
    <xf numFmtId="176" fontId="111" fillId="26" borderId="0" xfId="0" applyNumberFormat="1" applyFont="1" applyFill="1" applyAlignment="1">
      <alignment horizontal="center"/>
    </xf>
    <xf numFmtId="181" fontId="111" fillId="26" borderId="0" xfId="0" applyNumberFormat="1" applyFont="1" applyFill="1" applyAlignment="1">
      <alignment/>
    </xf>
    <xf numFmtId="179" fontId="0" fillId="26" borderId="11" xfId="54" applyNumberFormat="1" applyFont="1" applyFill="1" applyBorder="1" applyAlignment="1">
      <alignment horizontal="left" vertical="top" wrapText="1"/>
      <protection/>
    </xf>
    <xf numFmtId="0" fontId="2" fillId="31" borderId="10" xfId="0" applyFont="1" applyFill="1" applyBorder="1" applyAlignment="1">
      <alignment horizontal="center" vertical="center" wrapText="1"/>
    </xf>
    <xf numFmtId="176" fontId="2" fillId="31" borderId="10" xfId="0" applyNumberFormat="1" applyFont="1" applyFill="1" applyBorder="1" applyAlignment="1">
      <alignment horizontal="right" vertical="center" wrapText="1"/>
    </xf>
    <xf numFmtId="176" fontId="0" fillId="31" borderId="10" xfId="0" applyNumberFormat="1" applyFont="1" applyFill="1" applyBorder="1" applyAlignment="1">
      <alignment horizontal="right" vertical="center" wrapText="1"/>
    </xf>
    <xf numFmtId="0" fontId="2" fillId="29" borderId="10" xfId="0" applyFont="1" applyFill="1" applyBorder="1" applyAlignment="1">
      <alignment horizontal="center" vertical="center" wrapText="1"/>
    </xf>
    <xf numFmtId="176" fontId="2" fillId="29" borderId="10" xfId="0" applyNumberFormat="1" applyFont="1" applyFill="1" applyBorder="1" applyAlignment="1">
      <alignment horizontal="right" vertical="center" wrapText="1"/>
    </xf>
    <xf numFmtId="0" fontId="2" fillId="30" borderId="10" xfId="0" applyFont="1" applyFill="1" applyBorder="1" applyAlignment="1">
      <alignment horizontal="center" vertical="center" wrapText="1"/>
    </xf>
    <xf numFmtId="176" fontId="2" fillId="30" borderId="10" xfId="0" applyNumberFormat="1" applyFont="1" applyFill="1" applyBorder="1" applyAlignment="1">
      <alignment horizontal="right" vertical="center" wrapText="1"/>
    </xf>
    <xf numFmtId="4" fontId="0" fillId="30" borderId="10" xfId="0" applyNumberFormat="1" applyFont="1" applyFill="1" applyBorder="1" applyAlignment="1">
      <alignment horizontal="right" vertical="center" wrapText="1"/>
    </xf>
    <xf numFmtId="0" fontId="37" fillId="0" borderId="10" xfId="0" applyFont="1" applyBorder="1" applyAlignment="1">
      <alignment horizontal="center" vertical="center" wrapText="1"/>
    </xf>
    <xf numFmtId="0" fontId="111" fillId="26" borderId="0" xfId="0" applyFont="1" applyFill="1" applyAlignment="1">
      <alignment/>
    </xf>
    <xf numFmtId="200" fontId="111" fillId="26" borderId="0" xfId="0" applyNumberFormat="1" applyFont="1" applyFill="1" applyAlignment="1">
      <alignment horizontal="center"/>
    </xf>
    <xf numFmtId="201" fontId="111" fillId="26" borderId="0" xfId="0" applyNumberFormat="1" applyFont="1" applyFill="1" applyAlignment="1">
      <alignment horizontal="center"/>
    </xf>
    <xf numFmtId="176" fontId="107" fillId="31" borderId="10" xfId="0" applyNumberFormat="1" applyFont="1" applyFill="1" applyBorder="1" applyAlignment="1">
      <alignment horizontal="right" vertical="center" wrapText="1"/>
    </xf>
    <xf numFmtId="176" fontId="107" fillId="29" borderId="10" xfId="0" applyNumberFormat="1" applyFont="1" applyFill="1" applyBorder="1" applyAlignment="1">
      <alignment horizontal="right" vertical="center" wrapText="1"/>
    </xf>
    <xf numFmtId="176" fontId="107" fillId="30" borderId="10" xfId="0" applyNumberFormat="1" applyFont="1" applyFill="1" applyBorder="1" applyAlignment="1">
      <alignment horizontal="right" vertical="center" wrapText="1"/>
    </xf>
    <xf numFmtId="4" fontId="107" fillId="26" borderId="10" xfId="0" applyNumberFormat="1" applyFont="1" applyFill="1" applyBorder="1" applyAlignment="1">
      <alignment horizontal="right" vertical="center" wrapText="1"/>
    </xf>
    <xf numFmtId="0" fontId="107" fillId="26" borderId="22" xfId="0" applyFont="1" applyFill="1" applyBorder="1" applyAlignment="1">
      <alignment horizontal="center" vertical="center" wrapText="1"/>
    </xf>
    <xf numFmtId="204" fontId="107" fillId="26" borderId="0" xfId="0" applyNumberFormat="1" applyFont="1" applyFill="1" applyAlignment="1">
      <alignment/>
    </xf>
    <xf numFmtId="0" fontId="107" fillId="26" borderId="0" xfId="0" applyFont="1" applyFill="1" applyAlignment="1">
      <alignment horizontal="center"/>
    </xf>
    <xf numFmtId="176" fontId="107" fillId="26" borderId="0" xfId="0" applyNumberFormat="1" applyFont="1" applyFill="1" applyAlignment="1">
      <alignment horizontal="center"/>
    </xf>
    <xf numFmtId="181" fontId="107" fillId="26" borderId="0" xfId="0" applyNumberFormat="1" applyFont="1" applyFill="1" applyAlignment="1">
      <alignment/>
    </xf>
    <xf numFmtId="179" fontId="107" fillId="26" borderId="0" xfId="0" applyNumberFormat="1" applyFont="1" applyFill="1" applyAlignment="1">
      <alignment/>
    </xf>
    <xf numFmtId="199" fontId="107" fillId="26" borderId="0" xfId="0" applyNumberFormat="1" applyFont="1" applyFill="1" applyAlignment="1">
      <alignment horizontal="center"/>
    </xf>
    <xf numFmtId="179" fontId="107" fillId="26" borderId="0" xfId="0" applyNumberFormat="1" applyFont="1" applyFill="1" applyAlignment="1">
      <alignment horizontal="center"/>
    </xf>
    <xf numFmtId="179" fontId="137" fillId="26" borderId="0" xfId="0" applyNumberFormat="1" applyFont="1" applyFill="1" applyAlignment="1">
      <alignment horizontal="center"/>
    </xf>
    <xf numFmtId="179" fontId="138" fillId="26" borderId="0" xfId="0" applyNumberFormat="1" applyFont="1" applyFill="1" applyAlignment="1">
      <alignment horizontal="center"/>
    </xf>
    <xf numFmtId="0" fontId="0" fillId="26" borderId="20" xfId="54" applyNumberFormat="1" applyFont="1" applyFill="1" applyBorder="1" applyAlignment="1">
      <alignment horizontal="center" vertical="center" wrapText="1"/>
      <protection/>
    </xf>
    <xf numFmtId="49" fontId="107" fillId="26" borderId="12" xfId="0" applyNumberFormat="1" applyFont="1" applyFill="1" applyBorder="1" applyAlignment="1">
      <alignment horizontal="center" vertical="center" wrapText="1"/>
    </xf>
    <xf numFmtId="4" fontId="107" fillId="26" borderId="15" xfId="0" applyNumberFormat="1" applyFont="1" applyFill="1" applyBorder="1" applyAlignment="1">
      <alignment horizontal="right" vertical="center" wrapText="1"/>
    </xf>
    <xf numFmtId="0" fontId="107" fillId="26" borderId="22" xfId="0" applyFont="1" applyFill="1" applyBorder="1" applyAlignment="1">
      <alignment horizontal="left" vertical="center" wrapText="1"/>
    </xf>
    <xf numFmtId="204" fontId="107" fillId="0" borderId="0" xfId="0" applyNumberFormat="1" applyFont="1" applyAlignment="1">
      <alignment/>
    </xf>
    <xf numFmtId="0" fontId="107" fillId="0" borderId="0" xfId="0" applyFont="1" applyAlignment="1">
      <alignment horizontal="center"/>
    </xf>
    <xf numFmtId="179" fontId="107" fillId="0" borderId="0" xfId="0" applyNumberFormat="1" applyFont="1" applyAlignment="1">
      <alignment horizontal="center"/>
    </xf>
    <xf numFmtId="176" fontId="107" fillId="0" borderId="0" xfId="0" applyNumberFormat="1" applyFont="1" applyAlignment="1">
      <alignment horizontal="center"/>
    </xf>
    <xf numFmtId="181" fontId="107" fillId="0" borderId="0" xfId="0" applyNumberFormat="1" applyFont="1" applyAlignment="1">
      <alignment/>
    </xf>
    <xf numFmtId="176" fontId="107" fillId="0" borderId="0" xfId="0" applyNumberFormat="1" applyFont="1" applyAlignment="1">
      <alignment/>
    </xf>
    <xf numFmtId="0" fontId="107" fillId="0" borderId="0" xfId="0" applyFont="1" applyAlignment="1">
      <alignment/>
    </xf>
    <xf numFmtId="179" fontId="107" fillId="0" borderId="0" xfId="0" applyNumberFormat="1" applyFont="1" applyAlignment="1">
      <alignment/>
    </xf>
    <xf numFmtId="199" fontId="107" fillId="0" borderId="0" xfId="0" applyNumberFormat="1" applyFont="1" applyAlignment="1">
      <alignment horizontal="center"/>
    </xf>
    <xf numFmtId="179" fontId="137" fillId="0" borderId="0" xfId="0" applyNumberFormat="1" applyFont="1" applyAlignment="1">
      <alignment horizontal="center"/>
    </xf>
    <xf numFmtId="179" fontId="138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198" fontId="139" fillId="32" borderId="0" xfId="0" applyNumberFormat="1" applyFont="1" applyFill="1" applyBorder="1" applyAlignment="1">
      <alignment horizontal="center" vertical="center" wrapText="1"/>
    </xf>
    <xf numFmtId="0" fontId="140" fillId="32" borderId="0" xfId="0" applyFont="1" applyFill="1" applyAlignment="1">
      <alignment/>
    </xf>
    <xf numFmtId="0" fontId="139" fillId="32" borderId="0" xfId="0" applyFont="1" applyFill="1" applyBorder="1" applyAlignment="1">
      <alignment horizontal="center" vertical="center" wrapText="1"/>
    </xf>
    <xf numFmtId="0" fontId="140" fillId="32" borderId="0" xfId="0" applyFont="1" applyFill="1" applyAlignment="1">
      <alignment horizontal="center" vertical="center"/>
    </xf>
    <xf numFmtId="179" fontId="139" fillId="32" borderId="0" xfId="0" applyNumberFormat="1" applyFont="1" applyFill="1" applyBorder="1" applyAlignment="1">
      <alignment horizontal="center" vertical="center" wrapText="1"/>
    </xf>
    <xf numFmtId="198" fontId="130" fillId="0" borderId="0" xfId="0" applyNumberFormat="1" applyFont="1" applyAlignment="1">
      <alignment horizontal="center"/>
    </xf>
    <xf numFmtId="199" fontId="130" fillId="0" borderId="0" xfId="0" applyNumberFormat="1" applyFont="1" applyAlignment="1">
      <alignment horizontal="center"/>
    </xf>
    <xf numFmtId="198" fontId="130" fillId="29" borderId="0" xfId="0" applyNumberFormat="1" applyFont="1" applyFill="1" applyAlignment="1">
      <alignment horizont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distributed" wrapText="1"/>
    </xf>
    <xf numFmtId="0" fontId="3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distributed"/>
    </xf>
    <xf numFmtId="176" fontId="2" fillId="0" borderId="10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176" fontId="2" fillId="26" borderId="10" xfId="0" applyNumberFormat="1" applyFont="1" applyFill="1" applyBorder="1" applyAlignment="1">
      <alignment horizontal="center" vertical="center" wrapText="1"/>
    </xf>
    <xf numFmtId="176" fontId="2" fillId="26" borderId="10" xfId="0" applyNumberFormat="1" applyFont="1" applyFill="1" applyBorder="1" applyAlignment="1">
      <alignment horizontal="center"/>
    </xf>
    <xf numFmtId="176" fontId="2" fillId="26" borderId="11" xfId="0" applyNumberFormat="1" applyFont="1" applyFill="1" applyBorder="1" applyAlignment="1">
      <alignment horizontal="center"/>
    </xf>
    <xf numFmtId="176" fontId="0" fillId="26" borderId="11" xfId="0" applyNumberFormat="1" applyFont="1" applyFill="1" applyBorder="1" applyAlignment="1">
      <alignment horizontal="center"/>
    </xf>
    <xf numFmtId="176" fontId="0" fillId="26" borderId="10" xfId="0" applyNumberFormat="1" applyFont="1" applyFill="1" applyBorder="1" applyAlignment="1">
      <alignment horizontal="center" vertical="center"/>
    </xf>
    <xf numFmtId="176" fontId="0" fillId="26" borderId="11" xfId="0" applyNumberFormat="1" applyFont="1" applyFill="1" applyBorder="1" applyAlignment="1">
      <alignment horizontal="center" vertical="center"/>
    </xf>
    <xf numFmtId="176" fontId="107" fillId="26" borderId="10" xfId="0" applyNumberFormat="1" applyFont="1" applyFill="1" applyBorder="1" applyAlignment="1">
      <alignment horizontal="center" vertical="center"/>
    </xf>
    <xf numFmtId="176" fontId="107" fillId="26" borderId="11" xfId="0" applyNumberFormat="1" applyFont="1" applyFill="1" applyBorder="1" applyAlignment="1">
      <alignment horizontal="center" vertical="center"/>
    </xf>
    <xf numFmtId="176" fontId="141" fillId="26" borderId="10" xfId="0" applyNumberFormat="1" applyFont="1" applyFill="1" applyBorder="1" applyAlignment="1">
      <alignment horizontal="center" vertical="center" wrapText="1"/>
    </xf>
    <xf numFmtId="176" fontId="0" fillId="26" borderId="21" xfId="0" applyNumberFormat="1" applyFont="1" applyFill="1" applyBorder="1" applyAlignment="1">
      <alignment horizontal="center" vertical="center"/>
    </xf>
    <xf numFmtId="176" fontId="0" fillId="26" borderId="1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176" fontId="2" fillId="26" borderId="10" xfId="0" applyNumberFormat="1" applyFont="1" applyFill="1" applyBorder="1" applyAlignment="1">
      <alignment horizontal="center" vertical="center"/>
    </xf>
    <xf numFmtId="176" fontId="2" fillId="26" borderId="11" xfId="0" applyNumberFormat="1" applyFont="1" applyFill="1" applyBorder="1" applyAlignment="1">
      <alignment horizontal="center" vertical="center"/>
    </xf>
    <xf numFmtId="176" fontId="109" fillId="26" borderId="10" xfId="0" applyNumberFormat="1" applyFont="1" applyFill="1" applyBorder="1" applyAlignment="1">
      <alignment horizontal="center" vertical="center"/>
    </xf>
    <xf numFmtId="176" fontId="109" fillId="26" borderId="11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center"/>
    </xf>
    <xf numFmtId="176" fontId="57" fillId="0" borderId="0" xfId="0" applyNumberFormat="1" applyFont="1" applyAlignment="1">
      <alignment horizontal="center"/>
    </xf>
    <xf numFmtId="176" fontId="107" fillId="30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8" fillId="0" borderId="65" xfId="0" applyFont="1" applyBorder="1" applyAlignment="1">
      <alignment horizontal="center" vertical="center" wrapText="1"/>
    </xf>
    <xf numFmtId="0" fontId="28" fillId="0" borderId="65" xfId="0" applyFont="1" applyBorder="1" applyAlignment="1">
      <alignment horizontal="left" vertical="center" wrapText="1"/>
    </xf>
    <xf numFmtId="0" fontId="28" fillId="33" borderId="65" xfId="0" applyFont="1" applyFill="1" applyBorder="1" applyAlignment="1">
      <alignment horizontal="center" vertical="center" wrapText="1"/>
    </xf>
    <xf numFmtId="0" fontId="28" fillId="34" borderId="65" xfId="0" applyFont="1" applyFill="1" applyBorder="1" applyAlignment="1">
      <alignment horizontal="center" vertical="center" wrapText="1"/>
    </xf>
    <xf numFmtId="0" fontId="28" fillId="35" borderId="65" xfId="0" applyFont="1" applyFill="1" applyBorder="1" applyAlignment="1">
      <alignment horizontal="center" vertical="center" wrapText="1"/>
    </xf>
    <xf numFmtId="0" fontId="28" fillId="30" borderId="65" xfId="0" applyFont="1" applyFill="1" applyBorder="1" applyAlignment="1">
      <alignment horizontal="left" vertical="center" wrapText="1"/>
    </xf>
    <xf numFmtId="179" fontId="28" fillId="33" borderId="65" xfId="0" applyNumberFormat="1" applyFont="1" applyFill="1" applyBorder="1" applyAlignment="1">
      <alignment horizontal="center" vertical="center" wrapText="1"/>
    </xf>
    <xf numFmtId="179" fontId="28" fillId="34" borderId="65" xfId="0" applyNumberFormat="1" applyFont="1" applyFill="1" applyBorder="1" applyAlignment="1">
      <alignment horizontal="center" vertical="center" wrapText="1"/>
    </xf>
    <xf numFmtId="179" fontId="28" fillId="35" borderId="65" xfId="0" applyNumberFormat="1" applyFont="1" applyFill="1" applyBorder="1" applyAlignment="1">
      <alignment horizontal="center" vertical="center" wrapText="1"/>
    </xf>
    <xf numFmtId="179" fontId="28" fillId="0" borderId="0" xfId="0" applyNumberFormat="1" applyFont="1" applyAlignment="1">
      <alignment horizontal="center" vertical="center" wrapText="1"/>
    </xf>
    <xf numFmtId="0" fontId="29" fillId="0" borderId="65" xfId="0" applyFont="1" applyBorder="1" applyAlignment="1">
      <alignment horizontal="center" vertical="center" wrapText="1"/>
    </xf>
    <xf numFmtId="0" fontId="29" fillId="26" borderId="65" xfId="0" applyFont="1" applyFill="1" applyBorder="1" applyAlignment="1">
      <alignment horizontal="left" vertical="center" wrapText="1"/>
    </xf>
    <xf numFmtId="179" fontId="29" fillId="33" borderId="65" xfId="0" applyNumberFormat="1" applyFont="1" applyFill="1" applyBorder="1" applyAlignment="1">
      <alignment horizontal="center" vertical="center" wrapText="1"/>
    </xf>
    <xf numFmtId="179" fontId="29" fillId="34" borderId="65" xfId="0" applyNumberFormat="1" applyFont="1" applyFill="1" applyBorder="1" applyAlignment="1">
      <alignment horizontal="center" vertical="center" wrapText="1"/>
    </xf>
    <xf numFmtId="179" fontId="29" fillId="35" borderId="65" xfId="0" applyNumberFormat="1" applyFont="1" applyFill="1" applyBorder="1" applyAlignment="1">
      <alignment horizontal="center" vertical="center" wrapText="1"/>
    </xf>
    <xf numFmtId="179" fontId="142" fillId="0" borderId="0" xfId="0" applyNumberFormat="1" applyFont="1" applyAlignment="1">
      <alignment horizontal="center" vertical="center" wrapText="1"/>
    </xf>
    <xf numFmtId="0" fontId="142" fillId="0" borderId="0" xfId="0" applyFont="1" applyAlignment="1">
      <alignment horizontal="center" vertical="center" wrapText="1"/>
    </xf>
    <xf numFmtId="0" fontId="2" fillId="30" borderId="21" xfId="0" applyFont="1" applyFill="1" applyBorder="1" applyAlignment="1">
      <alignment horizontal="center" vertical="center" wrapText="1"/>
    </xf>
    <xf numFmtId="176" fontId="107" fillId="30" borderId="20" xfId="0" applyNumberFormat="1" applyFont="1" applyFill="1" applyBorder="1" applyAlignment="1">
      <alignment horizontal="center" vertical="center" wrapText="1"/>
    </xf>
    <xf numFmtId="176" fontId="109" fillId="30" borderId="10" xfId="0" applyNumberFormat="1" applyFont="1" applyFill="1" applyBorder="1" applyAlignment="1">
      <alignment horizontal="center" vertical="center" wrapText="1"/>
    </xf>
    <xf numFmtId="176" fontId="106" fillId="30" borderId="10" xfId="0" applyNumberFormat="1" applyFont="1" applyFill="1" applyBorder="1" applyAlignment="1">
      <alignment horizontal="center" vertical="center" wrapText="1"/>
    </xf>
    <xf numFmtId="176" fontId="107" fillId="30" borderId="21" xfId="0" applyNumberFormat="1" applyFont="1" applyFill="1" applyBorder="1" applyAlignment="1">
      <alignment horizontal="center" vertical="center" wrapText="1"/>
    </xf>
    <xf numFmtId="176" fontId="0" fillId="30" borderId="10" xfId="0" applyNumberFormat="1" applyFont="1" applyFill="1" applyBorder="1" applyAlignment="1">
      <alignment horizontal="center" vertical="center" wrapText="1"/>
    </xf>
    <xf numFmtId="176" fontId="0" fillId="30" borderId="10" xfId="0" applyNumberFormat="1" applyFont="1" applyFill="1" applyBorder="1" applyAlignment="1">
      <alignment horizontal="center"/>
    </xf>
    <xf numFmtId="176" fontId="0" fillId="30" borderId="21" xfId="0" applyNumberFormat="1" applyFont="1" applyFill="1" applyBorder="1" applyAlignment="1">
      <alignment horizontal="center"/>
    </xf>
    <xf numFmtId="176" fontId="2" fillId="30" borderId="20" xfId="0" applyNumberFormat="1" applyFont="1" applyFill="1" applyBorder="1" applyAlignment="1">
      <alignment horizontal="center"/>
    </xf>
    <xf numFmtId="0" fontId="0" fillId="30" borderId="21" xfId="0" applyFont="1" applyFill="1" applyBorder="1" applyAlignment="1">
      <alignment horizontal="center"/>
    </xf>
    <xf numFmtId="176" fontId="0" fillId="30" borderId="21" xfId="0" applyNumberFormat="1" applyFont="1" applyFill="1" applyBorder="1" applyAlignment="1">
      <alignment horizontal="center" vertical="center" wrapText="1"/>
    </xf>
    <xf numFmtId="176" fontId="0" fillId="30" borderId="20" xfId="0" applyNumberFormat="1" applyFont="1" applyFill="1" applyBorder="1" applyAlignment="1">
      <alignment horizontal="center" vertical="center" wrapText="1"/>
    </xf>
    <xf numFmtId="176" fontId="109" fillId="30" borderId="20" xfId="0" applyNumberFormat="1" applyFont="1" applyFill="1" applyBorder="1" applyAlignment="1">
      <alignment horizontal="center"/>
    </xf>
    <xf numFmtId="200" fontId="113" fillId="0" borderId="0" xfId="0" applyNumberFormat="1" applyFont="1" applyBorder="1" applyAlignment="1">
      <alignment horizontal="center" vertical="center" wrapText="1"/>
    </xf>
    <xf numFmtId="0" fontId="66" fillId="0" borderId="0" xfId="0" applyFont="1" applyAlignment="1">
      <alignment horizontal="right"/>
    </xf>
    <xf numFmtId="176" fontId="57" fillId="0" borderId="0" xfId="0" applyNumberFormat="1" applyFont="1" applyAlignment="1">
      <alignment/>
    </xf>
    <xf numFmtId="0" fontId="57" fillId="0" borderId="0" xfId="0" applyFont="1" applyBorder="1" applyAlignment="1">
      <alignment/>
    </xf>
    <xf numFmtId="0" fontId="113" fillId="0" borderId="0" xfId="0" applyFont="1" applyAlignment="1">
      <alignment/>
    </xf>
    <xf numFmtId="200" fontId="113" fillId="0" borderId="0" xfId="0" applyNumberFormat="1" applyFont="1" applyAlignment="1">
      <alignment/>
    </xf>
    <xf numFmtId="175" fontId="113" fillId="0" borderId="0" xfId="0" applyNumberFormat="1" applyFont="1" applyAlignment="1">
      <alignment horizontal="center"/>
    </xf>
    <xf numFmtId="0" fontId="113" fillId="0" borderId="0" xfId="0" applyFont="1" applyAlignment="1">
      <alignment horizontal="center"/>
    </xf>
    <xf numFmtId="0" fontId="140" fillId="0" borderId="0" xfId="0" applyFont="1" applyAlignment="1">
      <alignment horizontal="center"/>
    </xf>
    <xf numFmtId="0" fontId="109" fillId="26" borderId="0" xfId="54" applyFont="1" applyFill="1" applyBorder="1" applyAlignment="1">
      <alignment horizontal="center" vertical="center" wrapText="1"/>
      <protection/>
    </xf>
    <xf numFmtId="0" fontId="0" fillId="26" borderId="0" xfId="54" applyFont="1" applyFill="1" applyBorder="1" applyAlignment="1">
      <alignment horizontal="left" vertical="center" wrapText="1"/>
      <protection/>
    </xf>
    <xf numFmtId="0" fontId="28" fillId="26" borderId="58" xfId="54" applyFont="1" applyFill="1" applyBorder="1" applyAlignment="1" quotePrefix="1">
      <alignment horizontal="left" vertical="center" wrapText="1"/>
      <protection/>
    </xf>
    <xf numFmtId="0" fontId="143" fillId="0" borderId="0" xfId="54" applyFont="1" applyFill="1" applyAlignment="1">
      <alignment horizontal="center" vertical="center" wrapText="1"/>
      <protection/>
    </xf>
    <xf numFmtId="179" fontId="124" fillId="0" borderId="0" xfId="54" applyNumberFormat="1" applyFont="1" applyFill="1" applyAlignment="1">
      <alignment horizontal="center" vertical="center" wrapText="1"/>
      <protection/>
    </xf>
    <xf numFmtId="0" fontId="144" fillId="0" borderId="0" xfId="42" applyFont="1" applyFill="1" applyAlignment="1" applyProtection="1">
      <alignment horizontal="center" vertical="center" wrapText="1"/>
      <protection/>
    </xf>
    <xf numFmtId="0" fontId="29" fillId="26" borderId="51" xfId="54" applyFont="1" applyFill="1" applyBorder="1" applyAlignment="1">
      <alignment horizontal="left" vertical="center" wrapText="1"/>
      <protection/>
    </xf>
    <xf numFmtId="0" fontId="29" fillId="26" borderId="60" xfId="54" applyFont="1" applyFill="1" applyBorder="1" applyAlignment="1">
      <alignment horizontal="left" vertical="center" wrapText="1"/>
      <protection/>
    </xf>
    <xf numFmtId="0" fontId="145" fillId="26" borderId="57" xfId="54" applyFont="1" applyFill="1" applyBorder="1" applyAlignment="1">
      <alignment horizontal="left" vertical="center" wrapText="1"/>
      <protection/>
    </xf>
    <xf numFmtId="0" fontId="62" fillId="0" borderId="0" xfId="54" applyFont="1" applyAlignment="1">
      <alignment horizontal="right"/>
      <protection/>
    </xf>
    <xf numFmtId="0" fontId="62" fillId="0" borderId="0" xfId="54" applyFont="1" applyAlignment="1">
      <alignment horizontal="right" vertical="center"/>
      <protection/>
    </xf>
    <xf numFmtId="0" fontId="35" fillId="0" borderId="0" xfId="54" applyFont="1" applyAlignment="1">
      <alignment horizontal="right"/>
      <protection/>
    </xf>
    <xf numFmtId="0" fontId="67" fillId="0" borderId="0" xfId="54" applyFont="1" applyAlignment="1">
      <alignment horizontal="right"/>
      <protection/>
    </xf>
    <xf numFmtId="0" fontId="0" fillId="0" borderId="0" xfId="54" applyFont="1" applyAlignment="1">
      <alignment/>
      <protection/>
    </xf>
    <xf numFmtId="0" fontId="35" fillId="0" borderId="0" xfId="54" applyFont="1">
      <alignment/>
      <protection/>
    </xf>
    <xf numFmtId="0" fontId="2" fillId="0" borderId="33" xfId="54" applyFont="1" applyBorder="1" applyAlignment="1">
      <alignment horizontal="center" vertical="center" wrapText="1"/>
      <protection/>
    </xf>
    <xf numFmtId="0" fontId="2" fillId="0" borderId="49" xfId="54" applyFont="1" applyBorder="1" applyAlignment="1">
      <alignment horizontal="center" vertical="center" wrapText="1"/>
      <protection/>
    </xf>
    <xf numFmtId="0" fontId="32" fillId="0" borderId="48" xfId="54" applyFont="1" applyBorder="1" applyAlignment="1">
      <alignment horizontal="center" vertical="center" wrapText="1"/>
      <protection/>
    </xf>
    <xf numFmtId="0" fontId="2" fillId="0" borderId="19" xfId="54" applyNumberFormat="1" applyFont="1" applyBorder="1" applyAlignment="1">
      <alignment horizontal="center" vertical="top" wrapText="1"/>
      <protection/>
    </xf>
    <xf numFmtId="0" fontId="2" fillId="0" borderId="12" xfId="54" applyNumberFormat="1" applyFont="1" applyBorder="1" applyAlignment="1">
      <alignment horizontal="center" vertical="top" wrapText="1"/>
      <protection/>
    </xf>
    <xf numFmtId="0" fontId="0" fillId="0" borderId="10" xfId="54" applyFont="1" applyBorder="1" applyAlignment="1">
      <alignment horizontal="justify" vertical="top" wrapText="1"/>
      <protection/>
    </xf>
    <xf numFmtId="0" fontId="35" fillId="0" borderId="11" xfId="54" applyFont="1" applyBorder="1" applyAlignment="1">
      <alignment horizontal="center" vertical="center" wrapText="1"/>
      <protection/>
    </xf>
    <xf numFmtId="0" fontId="0" fillId="0" borderId="21" xfId="54" applyFont="1" applyBorder="1" applyAlignment="1">
      <alignment horizontal="justify" vertical="top" wrapText="1"/>
      <protection/>
    </xf>
    <xf numFmtId="0" fontId="35" fillId="0" borderId="14" xfId="54" applyFont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horizontal="justify" vertical="top" wrapText="1"/>
      <protection/>
    </xf>
    <xf numFmtId="0" fontId="35" fillId="26" borderId="11" xfId="54" applyFont="1" applyFill="1" applyBorder="1" applyAlignment="1">
      <alignment horizontal="center" vertical="center" wrapText="1"/>
      <protection/>
    </xf>
    <xf numFmtId="0" fontId="0" fillId="0" borderId="11" xfId="54" applyFont="1" applyBorder="1" applyAlignment="1">
      <alignment horizontal="center" vertical="center" wrapText="1"/>
      <protection/>
    </xf>
    <xf numFmtId="0" fontId="0" fillId="0" borderId="14" xfId="54" applyFont="1" applyBorder="1" applyAlignment="1">
      <alignment horizontal="center" vertical="center" wrapText="1"/>
      <protection/>
    </xf>
    <xf numFmtId="1" fontId="36" fillId="26" borderId="10" xfId="54" applyNumberFormat="1" applyFont="1" applyFill="1" applyBorder="1" applyAlignment="1">
      <alignment horizontal="center" vertical="center"/>
      <protection/>
    </xf>
    <xf numFmtId="179" fontId="28" fillId="26" borderId="10" xfId="54" applyNumberFormat="1" applyFont="1" applyFill="1" applyBorder="1" applyAlignment="1">
      <alignment horizontal="center" vertical="center"/>
      <protection/>
    </xf>
    <xf numFmtId="0" fontId="2" fillId="26" borderId="10" xfId="0" applyFont="1" applyFill="1" applyBorder="1" applyAlignment="1">
      <alignment horizontal="center" vertical="center" wrapText="1"/>
    </xf>
    <xf numFmtId="0" fontId="0" fillId="0" borderId="0" xfId="54" applyFont="1" applyAlignment="1">
      <alignment horizontal="left"/>
      <protection/>
    </xf>
    <xf numFmtId="176" fontId="0" fillId="0" borderId="0" xfId="54" applyNumberFormat="1" applyFont="1" applyAlignment="1">
      <alignment horizontal="left"/>
      <protection/>
    </xf>
    <xf numFmtId="0" fontId="111" fillId="0" borderId="0" xfId="54" applyFont="1" applyAlignment="1">
      <alignment horizontal="left"/>
      <protection/>
    </xf>
    <xf numFmtId="179" fontId="0" fillId="0" borderId="0" xfId="54" applyNumberFormat="1" applyFont="1" applyAlignment="1">
      <alignment horizontal="left"/>
      <protection/>
    </xf>
    <xf numFmtId="0" fontId="2" fillId="36" borderId="10" xfId="0" applyFont="1" applyFill="1" applyBorder="1" applyAlignment="1">
      <alignment horizontal="center" vertical="center" wrapText="1"/>
    </xf>
    <xf numFmtId="0" fontId="109" fillId="36" borderId="10" xfId="0" applyFont="1" applyFill="1" applyBorder="1" applyAlignment="1">
      <alignment horizontal="center" vertical="center" wrapText="1"/>
    </xf>
    <xf numFmtId="176" fontId="2" fillId="36" borderId="10" xfId="0" applyNumberFormat="1" applyFont="1" applyFill="1" applyBorder="1" applyAlignment="1">
      <alignment horizontal="right" vertical="center" wrapText="1"/>
    </xf>
    <xf numFmtId="176" fontId="0" fillId="36" borderId="10" xfId="0" applyNumberFormat="1" applyFont="1" applyFill="1" applyBorder="1" applyAlignment="1">
      <alignment horizontal="right" vertical="center" wrapText="1"/>
    </xf>
    <xf numFmtId="176" fontId="107" fillId="36" borderId="10" xfId="0" applyNumberFormat="1" applyFont="1" applyFill="1" applyBorder="1" applyAlignment="1">
      <alignment horizontal="right" vertical="center" wrapText="1"/>
    </xf>
    <xf numFmtId="0" fontId="130" fillId="26" borderId="0" xfId="0" applyFont="1" applyFill="1" applyAlignment="1">
      <alignment/>
    </xf>
    <xf numFmtId="179" fontId="130" fillId="26" borderId="0" xfId="0" applyNumberFormat="1" applyFont="1" applyFill="1" applyAlignment="1">
      <alignment/>
    </xf>
    <xf numFmtId="176" fontId="130" fillId="26" borderId="0" xfId="0" applyNumberFormat="1" applyFont="1" applyFill="1" applyAlignment="1">
      <alignment horizontal="center" vertical="center"/>
    </xf>
    <xf numFmtId="0" fontId="130" fillId="26" borderId="0" xfId="0" applyFont="1" applyFill="1" applyAlignment="1">
      <alignment horizontal="center" vertical="center"/>
    </xf>
    <xf numFmtId="0" fontId="130" fillId="0" borderId="0" xfId="0" applyFont="1" applyAlignment="1">
      <alignment horizontal="center"/>
    </xf>
    <xf numFmtId="0" fontId="146" fillId="0" borderId="0" xfId="0" applyFont="1" applyAlignment="1">
      <alignment/>
    </xf>
    <xf numFmtId="176" fontId="130" fillId="26" borderId="0" xfId="0" applyNumberFormat="1" applyFont="1" applyFill="1" applyAlignment="1">
      <alignment horizontal="center"/>
    </xf>
    <xf numFmtId="201" fontId="130" fillId="26" borderId="0" xfId="0" applyNumberFormat="1" applyFont="1" applyFill="1" applyAlignment="1">
      <alignment horizontal="center" vertical="center"/>
    </xf>
    <xf numFmtId="200" fontId="130" fillId="26" borderId="0" xfId="0" applyNumberFormat="1" applyFont="1" applyFill="1" applyAlignment="1">
      <alignment/>
    </xf>
    <xf numFmtId="176" fontId="130" fillId="26" borderId="0" xfId="0" applyNumberFormat="1" applyFont="1" applyFill="1" applyBorder="1" applyAlignment="1">
      <alignment horizontal="right" vertical="center" wrapText="1"/>
    </xf>
    <xf numFmtId="176" fontId="130" fillId="26" borderId="0" xfId="0" applyNumberFormat="1" applyFont="1" applyFill="1" applyAlignment="1">
      <alignment/>
    </xf>
    <xf numFmtId="0" fontId="140" fillId="26" borderId="0" xfId="0" applyFont="1" applyFill="1" applyAlignment="1">
      <alignment/>
    </xf>
    <xf numFmtId="202" fontId="130" fillId="26" borderId="0" xfId="0" applyNumberFormat="1" applyFont="1" applyFill="1" applyAlignment="1">
      <alignment horizontal="center" vertical="center"/>
    </xf>
    <xf numFmtId="14" fontId="130" fillId="0" borderId="0" xfId="0" applyNumberFormat="1" applyFont="1" applyAlignment="1">
      <alignment/>
    </xf>
    <xf numFmtId="49" fontId="130" fillId="0" borderId="0" xfId="0" applyNumberFormat="1" applyFont="1" applyAlignment="1">
      <alignment/>
    </xf>
    <xf numFmtId="201" fontId="130" fillId="26" borderId="0" xfId="0" applyNumberFormat="1" applyFont="1" applyFill="1" applyAlignment="1">
      <alignment/>
    </xf>
    <xf numFmtId="199" fontId="130" fillId="26" borderId="0" xfId="0" applyNumberFormat="1" applyFont="1" applyFill="1" applyAlignment="1">
      <alignment horizontal="center" vertical="center"/>
    </xf>
    <xf numFmtId="200" fontId="130" fillId="26" borderId="0" xfId="0" applyNumberFormat="1" applyFont="1" applyFill="1" applyAlignment="1">
      <alignment horizontal="center" vertical="center"/>
    </xf>
    <xf numFmtId="49" fontId="2" fillId="26" borderId="12" xfId="0" applyNumberFormat="1" applyFont="1" applyFill="1" applyBorder="1" applyAlignment="1">
      <alignment horizontal="center" vertical="center" wrapText="1"/>
    </xf>
    <xf numFmtId="181" fontId="130" fillId="26" borderId="0" xfId="0" applyNumberFormat="1" applyFont="1" applyFill="1" applyAlignment="1">
      <alignment/>
    </xf>
    <xf numFmtId="179" fontId="130" fillId="26" borderId="0" xfId="0" applyNumberFormat="1" applyFont="1" applyFill="1" applyAlignment="1">
      <alignment horizontal="center" vertical="center"/>
    </xf>
    <xf numFmtId="181" fontId="130" fillId="26" borderId="0" xfId="0" applyNumberFormat="1" applyFont="1" applyFill="1" applyAlignment="1">
      <alignment horizontal="center" vertical="center"/>
    </xf>
    <xf numFmtId="0" fontId="130" fillId="26" borderId="0" xfId="0" applyFont="1" applyFill="1" applyAlignment="1">
      <alignment horizontal="center"/>
    </xf>
    <xf numFmtId="179" fontId="130" fillId="26" borderId="0" xfId="0" applyNumberFormat="1" applyFont="1" applyFill="1" applyAlignment="1">
      <alignment horizontal="center"/>
    </xf>
    <xf numFmtId="200" fontId="130" fillId="26" borderId="0" xfId="0" applyNumberFormat="1" applyFont="1" applyFill="1" applyAlignment="1">
      <alignment horizontal="center"/>
    </xf>
    <xf numFmtId="201" fontId="130" fillId="26" borderId="0" xfId="0" applyNumberFormat="1" applyFont="1" applyFill="1" applyAlignment="1">
      <alignment horizontal="center"/>
    </xf>
    <xf numFmtId="0" fontId="130" fillId="0" borderId="0" xfId="0" applyFont="1" applyAlignment="1">
      <alignment wrapText="1"/>
    </xf>
    <xf numFmtId="185" fontId="130" fillId="26" borderId="0" xfId="0" applyNumberFormat="1" applyFont="1" applyFill="1" applyAlignment="1">
      <alignment horizontal="center"/>
    </xf>
    <xf numFmtId="0" fontId="111" fillId="0" borderId="0" xfId="0" applyFont="1" applyAlignment="1">
      <alignment/>
    </xf>
    <xf numFmtId="185" fontId="111" fillId="26" borderId="0" xfId="0" applyNumberFormat="1" applyFont="1" applyFill="1" applyAlignment="1">
      <alignment/>
    </xf>
    <xf numFmtId="0" fontId="111" fillId="26" borderId="0" xfId="0" applyFont="1" applyFill="1" applyAlignment="1">
      <alignment horizontal="center" vertical="center"/>
    </xf>
    <xf numFmtId="0" fontId="111" fillId="0" borderId="0" xfId="0" applyFont="1" applyAlignment="1">
      <alignment horizontal="center"/>
    </xf>
    <xf numFmtId="0" fontId="119" fillId="0" borderId="0" xfId="0" applyFont="1" applyAlignment="1">
      <alignment/>
    </xf>
    <xf numFmtId="183" fontId="111" fillId="26" borderId="0" xfId="0" applyNumberFormat="1" applyFont="1" applyFill="1" applyAlignment="1">
      <alignment/>
    </xf>
    <xf numFmtId="184" fontId="111" fillId="26" borderId="0" xfId="0" applyNumberFormat="1" applyFont="1" applyFill="1" applyAlignment="1">
      <alignment/>
    </xf>
    <xf numFmtId="0" fontId="28" fillId="37" borderId="65" xfId="0" applyFont="1" applyFill="1" applyBorder="1" applyAlignment="1">
      <alignment horizontal="center" vertical="center" wrapText="1"/>
    </xf>
    <xf numFmtId="179" fontId="28" fillId="37" borderId="65" xfId="0" applyNumberFormat="1" applyFont="1" applyFill="1" applyBorder="1" applyAlignment="1">
      <alignment horizontal="center" vertical="center" wrapText="1"/>
    </xf>
    <xf numFmtId="179" fontId="29" fillId="37" borderId="65" xfId="0" applyNumberFormat="1" applyFont="1" applyFill="1" applyBorder="1" applyAlignment="1">
      <alignment horizontal="center" vertical="center" wrapText="1"/>
    </xf>
    <xf numFmtId="176" fontId="111" fillId="0" borderId="0" xfId="0" applyNumberFormat="1" applyFont="1" applyAlignment="1">
      <alignment horizontal="center"/>
    </xf>
    <xf numFmtId="199" fontId="113" fillId="0" borderId="0" xfId="0" applyNumberFormat="1" applyFont="1" applyAlignment="1">
      <alignment horizontal="center"/>
    </xf>
    <xf numFmtId="199" fontId="111" fillId="0" borderId="0" xfId="0" applyNumberFormat="1" applyFont="1" applyAlignment="1">
      <alignment horizontal="center"/>
    </xf>
    <xf numFmtId="199" fontId="147" fillId="0" borderId="0" xfId="0" applyNumberFormat="1" applyFont="1" applyAlignment="1">
      <alignment horizontal="center"/>
    </xf>
    <xf numFmtId="200" fontId="132" fillId="0" borderId="0" xfId="0" applyNumberFormat="1" applyFont="1" applyAlignment="1">
      <alignment horizontal="center"/>
    </xf>
    <xf numFmtId="185" fontId="28" fillId="0" borderId="0" xfId="0" applyNumberFormat="1" applyFont="1" applyAlignment="1">
      <alignment/>
    </xf>
    <xf numFmtId="176" fontId="106" fillId="30" borderId="21" xfId="0" applyNumberFormat="1" applyFont="1" applyFill="1" applyBorder="1" applyAlignment="1">
      <alignment horizontal="center" vertical="center" wrapText="1"/>
    </xf>
    <xf numFmtId="176" fontId="106" fillId="30" borderId="10" xfId="0" applyNumberFormat="1" applyFont="1" applyFill="1" applyBorder="1" applyAlignment="1">
      <alignment horizontal="center"/>
    </xf>
    <xf numFmtId="176" fontId="61" fillId="0" borderId="0" xfId="0" applyNumberFormat="1" applyFont="1" applyBorder="1" applyAlignment="1">
      <alignment horizontal="center" vertical="center" wrapText="1"/>
    </xf>
    <xf numFmtId="0" fontId="148" fillId="0" borderId="0" xfId="0" applyFont="1" applyAlignment="1">
      <alignment/>
    </xf>
    <xf numFmtId="0" fontId="149" fillId="0" borderId="0" xfId="0" applyFont="1" applyBorder="1" applyAlignment="1">
      <alignment horizontal="center" vertical="center" wrapText="1"/>
    </xf>
    <xf numFmtId="0" fontId="150" fillId="0" borderId="0" xfId="0" applyFont="1" applyAlignment="1">
      <alignment/>
    </xf>
    <xf numFmtId="0" fontId="148" fillId="0" borderId="0" xfId="0" applyFont="1" applyAlignment="1">
      <alignment horizontal="center" vertical="center"/>
    </xf>
    <xf numFmtId="179" fontId="149" fillId="0" borderId="0" xfId="0" applyNumberFormat="1" applyFont="1" applyBorder="1" applyAlignment="1">
      <alignment horizontal="center" vertical="center" wrapText="1"/>
    </xf>
    <xf numFmtId="17" fontId="111" fillId="24" borderId="0" xfId="54" applyNumberFormat="1" applyFont="1" applyFill="1" applyBorder="1" applyAlignment="1">
      <alignment horizontal="center" vertical="top" wrapText="1"/>
      <protection/>
    </xf>
    <xf numFmtId="0" fontId="0" fillId="26" borderId="20" xfId="54" applyNumberFormat="1" applyFont="1" applyFill="1" applyBorder="1" applyAlignment="1">
      <alignment horizontal="center" vertical="center" wrapText="1"/>
      <protection/>
    </xf>
    <xf numFmtId="49" fontId="61" fillId="26" borderId="10" xfId="54" applyNumberFormat="1" applyFont="1" applyFill="1" applyBorder="1" applyAlignment="1">
      <alignment horizontal="center" vertical="center" wrapText="1"/>
      <protection/>
    </xf>
    <xf numFmtId="17" fontId="20" fillId="0" borderId="10" xfId="54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5" fillId="0" borderId="61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top" wrapText="1"/>
    </xf>
    <xf numFmtId="0" fontId="2" fillId="0" borderId="64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26" borderId="0" xfId="0" applyFont="1" applyFill="1" applyAlignment="1">
      <alignment horizontal="left" wrapText="1"/>
    </xf>
    <xf numFmtId="0" fontId="2" fillId="26" borderId="1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26" borderId="69" xfId="0" applyFont="1" applyFill="1" applyBorder="1" applyAlignment="1">
      <alignment horizontal="center" vertical="center" wrapText="1"/>
    </xf>
    <xf numFmtId="0" fontId="2" fillId="26" borderId="70" xfId="0" applyFont="1" applyFill="1" applyBorder="1" applyAlignment="1">
      <alignment horizontal="center" vertical="center" wrapText="1"/>
    </xf>
    <xf numFmtId="0" fontId="2" fillId="26" borderId="31" xfId="0" applyFont="1" applyFill="1" applyBorder="1" applyAlignment="1">
      <alignment horizontal="center" vertical="center" wrapText="1"/>
    </xf>
    <xf numFmtId="0" fontId="2" fillId="26" borderId="46" xfId="0" applyFont="1" applyFill="1" applyBorder="1" applyAlignment="1">
      <alignment horizontal="center" vertical="center" wrapText="1"/>
    </xf>
    <xf numFmtId="0" fontId="2" fillId="29" borderId="10" xfId="0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107" fillId="26" borderId="0" xfId="0" applyFont="1" applyFill="1" applyBorder="1" applyAlignment="1">
      <alignment horizontal="left" vertical="center" wrapText="1"/>
    </xf>
    <xf numFmtId="0" fontId="53" fillId="0" borderId="0" xfId="0" applyFont="1" applyFill="1" applyAlignment="1">
      <alignment horizontal="center"/>
    </xf>
    <xf numFmtId="0" fontId="2" fillId="26" borderId="5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wrapText="1"/>
    </xf>
    <xf numFmtId="0" fontId="54" fillId="0" borderId="0" xfId="0" applyFont="1" applyFill="1" applyAlignment="1">
      <alignment horizontal="center"/>
    </xf>
    <xf numFmtId="0" fontId="2" fillId="36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141" fillId="26" borderId="12" xfId="0" applyFont="1" applyFill="1" applyBorder="1" applyAlignment="1">
      <alignment horizontal="center" vertical="center" wrapText="1"/>
    </xf>
    <xf numFmtId="0" fontId="141" fillId="26" borderId="1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37" fillId="0" borderId="50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109" fillId="26" borderId="10" xfId="0" applyFont="1" applyFill="1" applyBorder="1" applyAlignment="1">
      <alignment horizontal="center" vertical="center" wrapText="1"/>
    </xf>
    <xf numFmtId="0" fontId="28" fillId="33" borderId="65" xfId="0" applyFont="1" applyFill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28" fillId="34" borderId="65" xfId="0" applyFont="1" applyFill="1" applyBorder="1" applyAlignment="1">
      <alignment horizontal="center" vertical="center" wrapText="1"/>
    </xf>
    <xf numFmtId="0" fontId="28" fillId="35" borderId="65" xfId="0" applyFont="1" applyFill="1" applyBorder="1" applyAlignment="1">
      <alignment horizontal="center" vertical="center" wrapText="1"/>
    </xf>
    <xf numFmtId="0" fontId="28" fillId="37" borderId="65" xfId="0" applyFont="1" applyFill="1" applyBorder="1" applyAlignment="1">
      <alignment horizontal="center" vertical="center" wrapText="1"/>
    </xf>
    <xf numFmtId="0" fontId="2" fillId="0" borderId="10" xfId="54" applyFont="1" applyBorder="1" applyAlignment="1">
      <alignment horizontal="center" vertical="center" wrapText="1"/>
      <protection/>
    </xf>
    <xf numFmtId="0" fontId="0" fillId="0" borderId="0" xfId="54" applyFont="1" applyAlignment="1">
      <alignment horizontal="center"/>
      <protection/>
    </xf>
    <xf numFmtId="0" fontId="0" fillId="0" borderId="0" xfId="54" applyFont="1" applyBorder="1" applyAlignment="1">
      <alignment horizontal="center" vertical="top" wrapText="1"/>
      <protection/>
    </xf>
    <xf numFmtId="0" fontId="2" fillId="0" borderId="0" xfId="54" applyFont="1" applyAlignment="1">
      <alignment horizontal="center" wrapText="1"/>
      <protection/>
    </xf>
    <xf numFmtId="0" fontId="2" fillId="0" borderId="0" xfId="54" applyFont="1" applyAlignment="1">
      <alignment horizontal="center"/>
      <protection/>
    </xf>
    <xf numFmtId="0" fontId="0" fillId="0" borderId="0" xfId="54" applyFont="1" applyAlignment="1">
      <alignment horizontal="center" vertical="center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26" borderId="10" xfId="54" applyFont="1" applyFill="1" applyBorder="1" applyAlignment="1">
      <alignment horizontal="center" vertical="top" wrapText="1"/>
      <protection/>
    </xf>
    <xf numFmtId="0" fontId="2" fillId="0" borderId="10" xfId="54" applyFont="1" applyBorder="1" applyAlignment="1">
      <alignment horizontal="center" vertical="top" wrapText="1"/>
      <protection/>
    </xf>
    <xf numFmtId="0" fontId="29" fillId="0" borderId="0" xfId="54" applyFont="1" applyFill="1" applyAlignment="1">
      <alignment horizontal="center" wrapText="1"/>
      <protection/>
    </xf>
    <xf numFmtId="0" fontId="29" fillId="0" borderId="0" xfId="54" applyFont="1" applyFill="1" applyAlignment="1">
      <alignment horizontal="center"/>
      <protection/>
    </xf>
    <xf numFmtId="0" fontId="28" fillId="0" borderId="0" xfId="54" applyFont="1" applyFill="1" applyAlignment="1">
      <alignment horizontal="center" vertical="center"/>
      <protection/>
    </xf>
    <xf numFmtId="0" fontId="28" fillId="0" borderId="51" xfId="54" applyFont="1" applyFill="1" applyBorder="1" applyAlignment="1">
      <alignment horizontal="left" vertical="center" wrapText="1"/>
      <protection/>
    </xf>
    <xf numFmtId="0" fontId="28" fillId="0" borderId="59" xfId="54" applyFont="1" applyFill="1" applyBorder="1" applyAlignment="1">
      <alignment horizontal="left" vertical="center" wrapText="1"/>
      <protection/>
    </xf>
    <xf numFmtId="0" fontId="28" fillId="0" borderId="60" xfId="54" applyFont="1" applyFill="1" applyBorder="1" applyAlignment="1">
      <alignment horizontal="left" vertical="center" wrapText="1"/>
      <protection/>
    </xf>
    <xf numFmtId="0" fontId="28" fillId="0" borderId="0" xfId="54" applyFont="1" applyFill="1" applyAlignment="1">
      <alignment horizontal="left" wrapText="1"/>
      <protection/>
    </xf>
    <xf numFmtId="1" fontId="28" fillId="0" borderId="0" xfId="54" applyNumberFormat="1" applyFont="1" applyFill="1" applyAlignment="1">
      <alignment horizontal="center" vertical="top"/>
      <protection/>
    </xf>
    <xf numFmtId="0" fontId="28" fillId="0" borderId="0" xfId="54" applyFont="1" applyFill="1" applyAlignment="1">
      <alignment horizontal="center" vertical="center" wrapText="1"/>
      <protection/>
    </xf>
    <xf numFmtId="0" fontId="59" fillId="0" borderId="0" xfId="54" applyFont="1" applyAlignment="1">
      <alignment horizontal="center" wrapText="1"/>
      <protection/>
    </xf>
    <xf numFmtId="0" fontId="59" fillId="0" borderId="0" xfId="54" applyFont="1" applyAlignment="1">
      <alignment horizontal="center"/>
      <protection/>
    </xf>
    <xf numFmtId="0" fontId="35" fillId="0" borderId="0" xfId="54" applyFont="1" applyFill="1" applyAlignment="1">
      <alignment horizontal="center" vertical="center"/>
      <protection/>
    </xf>
    <xf numFmtId="0" fontId="0" fillId="0" borderId="0" xfId="54" applyFont="1" applyFill="1" applyAlignment="1">
      <alignment horizontal="left" wrapText="1"/>
      <protection/>
    </xf>
    <xf numFmtId="0" fontId="0" fillId="0" borderId="0" xfId="54" applyFont="1" applyFill="1" applyBorder="1" applyAlignment="1">
      <alignment horizontal="left" wrapText="1"/>
      <protection/>
    </xf>
    <xf numFmtId="0" fontId="0" fillId="0" borderId="0" xfId="54" applyFont="1" applyBorder="1" applyAlignment="1">
      <alignment/>
      <protection/>
    </xf>
    <xf numFmtId="0" fontId="2" fillId="0" borderId="30" xfId="54" applyFont="1" applyBorder="1" applyAlignment="1">
      <alignment horizontal="center" vertical="center" wrapText="1"/>
      <protection/>
    </xf>
    <xf numFmtId="0" fontId="2" fillId="0" borderId="12" xfId="54" applyFont="1" applyBorder="1" applyAlignment="1">
      <alignment horizontal="center" vertical="center" wrapText="1"/>
      <protection/>
    </xf>
    <xf numFmtId="0" fontId="2" fillId="0" borderId="50" xfId="54" applyFont="1" applyFill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0" fontId="2" fillId="0" borderId="25" xfId="54" applyNumberFormat="1" applyFont="1" applyFill="1" applyBorder="1" applyAlignment="1">
      <alignment horizontal="center" vertical="center" wrapText="1"/>
      <protection/>
    </xf>
    <xf numFmtId="0" fontId="2" fillId="0" borderId="15" xfId="54" applyNumberFormat="1" applyFont="1" applyFill="1" applyBorder="1" applyAlignment="1">
      <alignment horizontal="center" vertical="center" wrapText="1"/>
      <protection/>
    </xf>
    <xf numFmtId="0" fontId="2" fillId="0" borderId="17" xfId="54" applyNumberFormat="1" applyFont="1" applyFill="1" applyBorder="1" applyAlignment="1">
      <alignment horizontal="center" vertical="top" wrapText="1"/>
      <protection/>
    </xf>
    <xf numFmtId="0" fontId="0" fillId="0" borderId="72" xfId="54" applyFill="1" applyBorder="1" applyAlignment="1">
      <alignment horizontal="center" vertical="top" wrapText="1"/>
      <protection/>
    </xf>
    <xf numFmtId="0" fontId="0" fillId="0" borderId="73" xfId="54" applyFill="1" applyBorder="1" applyAlignment="1">
      <alignment horizontal="center" vertical="top" wrapText="1"/>
      <protection/>
    </xf>
    <xf numFmtId="0" fontId="0" fillId="26" borderId="15" xfId="54" applyNumberFormat="1" applyFont="1" applyFill="1" applyBorder="1" applyAlignment="1">
      <alignment horizontal="center" vertical="center" wrapText="1"/>
      <protection/>
    </xf>
    <xf numFmtId="0" fontId="0" fillId="26" borderId="74" xfId="54" applyNumberFormat="1" applyFont="1" applyFill="1" applyBorder="1" applyAlignment="1">
      <alignment horizontal="center" vertical="center" wrapText="1"/>
      <protection/>
    </xf>
    <xf numFmtId="0" fontId="0" fillId="26" borderId="75" xfId="54" applyNumberFormat="1" applyFont="1" applyFill="1" applyBorder="1" applyAlignment="1">
      <alignment horizontal="center" vertical="center" wrapText="1"/>
      <protection/>
    </xf>
    <xf numFmtId="0" fontId="0" fillId="0" borderId="0" xfId="54" applyFont="1" applyFill="1" applyAlignment="1">
      <alignment horizontal="center"/>
      <protection/>
    </xf>
    <xf numFmtId="0" fontId="2" fillId="0" borderId="69" xfId="54" applyFont="1" applyFill="1" applyBorder="1" applyAlignment="1">
      <alignment horizontal="center" vertical="center" wrapText="1"/>
      <protection/>
    </xf>
    <xf numFmtId="0" fontId="2" fillId="0" borderId="76" xfId="54" applyFont="1" applyFill="1" applyBorder="1" applyAlignment="1">
      <alignment horizontal="center" vertical="center" wrapText="1"/>
      <protection/>
    </xf>
    <xf numFmtId="0" fontId="2" fillId="0" borderId="58" xfId="54" applyFont="1" applyFill="1" applyBorder="1" applyAlignment="1">
      <alignment horizontal="center" vertical="center" wrapText="1"/>
      <protection/>
    </xf>
    <xf numFmtId="0" fontId="2" fillId="0" borderId="28" xfId="54" applyFont="1" applyFill="1" applyBorder="1" applyAlignment="1">
      <alignment horizontal="center" vertical="center" wrapText="1"/>
      <protection/>
    </xf>
    <xf numFmtId="0" fontId="2" fillId="0" borderId="0" xfId="54" applyFont="1" applyFill="1" applyBorder="1" applyAlignment="1">
      <alignment horizontal="center" vertical="center" wrapText="1"/>
      <protection/>
    </xf>
    <xf numFmtId="0" fontId="2" fillId="0" borderId="62" xfId="54" applyFont="1" applyFill="1" applyBorder="1" applyAlignment="1">
      <alignment horizontal="center" vertical="center" wrapText="1"/>
      <protection/>
    </xf>
    <xf numFmtId="0" fontId="0" fillId="0" borderId="28" xfId="54" applyFill="1" applyBorder="1" applyAlignment="1">
      <alignment horizontal="center" wrapText="1"/>
      <protection/>
    </xf>
    <xf numFmtId="0" fontId="0" fillId="0" borderId="0" xfId="54" applyFill="1" applyBorder="1" applyAlignment="1">
      <alignment horizontal="center" wrapText="1"/>
      <protection/>
    </xf>
    <xf numFmtId="0" fontId="0" fillId="0" borderId="62" xfId="54" applyFill="1" applyBorder="1" applyAlignment="1">
      <alignment horizontal="center" wrapText="1"/>
      <protection/>
    </xf>
    <xf numFmtId="0" fontId="0" fillId="0" borderId="31" xfId="54" applyFill="1" applyBorder="1" applyAlignment="1">
      <alignment horizontal="center" wrapText="1"/>
      <protection/>
    </xf>
    <xf numFmtId="0" fontId="0" fillId="0" borderId="52" xfId="54" applyFill="1" applyBorder="1" applyAlignment="1">
      <alignment horizontal="center" wrapText="1"/>
      <protection/>
    </xf>
    <xf numFmtId="0" fontId="0" fillId="0" borderId="53" xfId="54" applyFill="1" applyBorder="1" applyAlignment="1">
      <alignment horizontal="center" wrapText="1"/>
      <protection/>
    </xf>
    <xf numFmtId="0" fontId="2" fillId="0" borderId="13" xfId="54" applyNumberFormat="1" applyFont="1" applyFill="1" applyBorder="1" applyAlignment="1">
      <alignment horizontal="center" vertical="center" wrapText="1"/>
      <protection/>
    </xf>
    <xf numFmtId="0" fontId="2" fillId="0" borderId="67" xfId="54" applyNumberFormat="1" applyFont="1" applyFill="1" applyBorder="1" applyAlignment="1">
      <alignment horizontal="center" vertical="center" wrapText="1"/>
      <protection/>
    </xf>
    <xf numFmtId="0" fontId="2" fillId="0" borderId="20" xfId="54" applyNumberFormat="1" applyFont="1" applyFill="1" applyBorder="1" applyAlignment="1">
      <alignment horizontal="center" vertical="center" wrapText="1"/>
      <protection/>
    </xf>
    <xf numFmtId="0" fontId="0" fillId="0" borderId="0" xfId="54" applyFont="1" applyFill="1" applyAlignment="1">
      <alignment horizontal="center" vertical="center"/>
      <protection/>
    </xf>
    <xf numFmtId="0" fontId="0" fillId="0" borderId="0" xfId="54" applyFont="1" applyFill="1" applyAlignment="1">
      <alignment horizontal="center" vertical="center" wrapText="1"/>
      <protection/>
    </xf>
    <xf numFmtId="0" fontId="0" fillId="0" borderId="15" xfId="54" applyNumberFormat="1" applyFont="1" applyFill="1" applyBorder="1" applyAlignment="1">
      <alignment horizontal="center" vertical="center" wrapText="1"/>
      <protection/>
    </xf>
    <xf numFmtId="0" fontId="0" fillId="0" borderId="74" xfId="54" applyNumberFormat="1" applyFont="1" applyFill="1" applyBorder="1" applyAlignment="1">
      <alignment horizontal="center" vertical="center" wrapText="1"/>
      <protection/>
    </xf>
    <xf numFmtId="0" fontId="0" fillId="0" borderId="75" xfId="54" applyNumberFormat="1" applyFont="1" applyFill="1" applyBorder="1" applyAlignment="1">
      <alignment horizontal="center" vertical="center" wrapText="1"/>
      <protection/>
    </xf>
    <xf numFmtId="17" fontId="111" fillId="24" borderId="0" xfId="54" applyNumberFormat="1" applyFont="1" applyFill="1" applyBorder="1" applyAlignment="1">
      <alignment horizontal="center" vertical="top" wrapText="1"/>
      <protection/>
    </xf>
    <xf numFmtId="0" fontId="0" fillId="26" borderId="66" xfId="54" applyNumberFormat="1" applyFont="1" applyFill="1" applyBorder="1" applyAlignment="1">
      <alignment horizontal="center" vertical="center" wrapText="1"/>
      <protection/>
    </xf>
    <xf numFmtId="0" fontId="0" fillId="26" borderId="67" xfId="54" applyNumberFormat="1" applyFont="1" applyFill="1" applyBorder="1" applyAlignment="1">
      <alignment horizontal="center" vertical="center" wrapText="1"/>
      <protection/>
    </xf>
    <xf numFmtId="0" fontId="0" fillId="26" borderId="20" xfId="54" applyNumberFormat="1" applyFont="1" applyFill="1" applyBorder="1" applyAlignment="1">
      <alignment horizontal="center" vertical="center" wrapText="1"/>
      <protection/>
    </xf>
    <xf numFmtId="0" fontId="2" fillId="0" borderId="15" xfId="54" applyFont="1" applyBorder="1" applyAlignment="1">
      <alignment horizontal="justify" vertical="top" wrapText="1"/>
      <protection/>
    </xf>
    <xf numFmtId="0" fontId="2" fillId="0" borderId="75" xfId="54" applyFont="1" applyBorder="1" applyAlignment="1">
      <alignment horizontal="justify" vertical="top" wrapText="1"/>
      <protection/>
    </xf>
    <xf numFmtId="0" fontId="0" fillId="0" borderId="0" xfId="54" applyNumberFormat="1" applyFont="1" applyFill="1" applyBorder="1" applyAlignment="1">
      <alignment horizontal="center" vertical="top"/>
      <protection/>
    </xf>
    <xf numFmtId="0" fontId="2" fillId="0" borderId="0" xfId="54" applyFont="1" applyAlignment="1">
      <alignment horizontal="center" vertical="center" wrapText="1"/>
      <protection/>
    </xf>
    <xf numFmtId="0" fontId="28" fillId="0" borderId="0" xfId="54" applyFont="1" applyAlignment="1">
      <alignment horizontal="center" vertical="center" wrapText="1"/>
      <protection/>
    </xf>
    <xf numFmtId="0" fontId="2" fillId="0" borderId="20" xfId="54" applyFont="1" applyBorder="1" applyAlignment="1">
      <alignment vertical="top" wrapText="1"/>
      <protection/>
    </xf>
    <xf numFmtId="0" fontId="2" fillId="0" borderId="22" xfId="54" applyFont="1" applyBorder="1" applyAlignment="1">
      <alignment vertical="top" wrapText="1"/>
      <protection/>
    </xf>
    <xf numFmtId="0" fontId="2" fillId="0" borderId="10" xfId="54" applyFont="1" applyBorder="1" applyAlignment="1">
      <alignment horizontal="justify" vertical="top" wrapText="1"/>
      <protection/>
    </xf>
    <xf numFmtId="0" fontId="2" fillId="0" borderId="11" xfId="54" applyFont="1" applyBorder="1" applyAlignment="1">
      <alignment horizontal="justify" vertical="top" wrapText="1"/>
      <protection/>
    </xf>
    <xf numFmtId="173" fontId="20" fillId="0" borderId="0" xfId="54" applyNumberFormat="1" applyFont="1" applyAlignment="1">
      <alignment horizontal="left" wrapText="1"/>
      <protection/>
    </xf>
    <xf numFmtId="176" fontId="0" fillId="26" borderId="15" xfId="54" applyNumberFormat="1" applyFont="1" applyFill="1" applyBorder="1" applyAlignment="1">
      <alignment horizontal="center" vertical="center" wrapText="1"/>
      <protection/>
    </xf>
    <xf numFmtId="176" fontId="0" fillId="26" borderId="41" xfId="54" applyNumberFormat="1" applyFont="1" applyFill="1" applyBorder="1" applyAlignment="1">
      <alignment horizontal="center" vertical="center" wrapText="1"/>
      <protection/>
    </xf>
    <xf numFmtId="173" fontId="25" fillId="20" borderId="10" xfId="54" applyNumberFormat="1" applyFont="1" applyFill="1" applyBorder="1" applyAlignment="1">
      <alignment horizontal="center" wrapText="1"/>
      <protection/>
    </xf>
    <xf numFmtId="173" fontId="0" fillId="0" borderId="10" xfId="54" applyNumberFormat="1" applyFont="1" applyBorder="1" applyAlignment="1">
      <alignment horizontal="center" wrapText="1"/>
      <protection/>
    </xf>
    <xf numFmtId="9" fontId="0" fillId="0" borderId="10" xfId="54" applyNumberFormat="1" applyFont="1" applyBorder="1" applyAlignment="1">
      <alignment horizontal="center" wrapText="1"/>
      <protection/>
    </xf>
    <xf numFmtId="173" fontId="0" fillId="0" borderId="15" xfId="54" applyNumberFormat="1" applyFont="1" applyBorder="1" applyAlignment="1">
      <alignment horizontal="center" wrapText="1"/>
      <protection/>
    </xf>
    <xf numFmtId="173" fontId="0" fillId="0" borderId="41" xfId="54" applyNumberFormat="1" applyFont="1" applyBorder="1" applyAlignment="1">
      <alignment horizontal="center" wrapText="1"/>
      <protection/>
    </xf>
    <xf numFmtId="176" fontId="0" fillId="26" borderId="0" xfId="54" applyNumberFormat="1" applyFont="1" applyFill="1" applyBorder="1" applyAlignment="1">
      <alignment horizontal="left" vertical="center" wrapText="1"/>
      <protection/>
    </xf>
    <xf numFmtId="176" fontId="107" fillId="26" borderId="15" xfId="54" applyNumberFormat="1" applyFont="1" applyFill="1" applyBorder="1" applyAlignment="1">
      <alignment horizontal="center" vertical="center" wrapText="1"/>
      <protection/>
    </xf>
    <xf numFmtId="176" fontId="107" fillId="26" borderId="41" xfId="54" applyNumberFormat="1" applyFont="1" applyFill="1" applyBorder="1" applyAlignment="1">
      <alignment horizontal="center" vertical="center" wrapText="1"/>
      <protection/>
    </xf>
    <xf numFmtId="176" fontId="0" fillId="26" borderId="15" xfId="54" applyNumberFormat="1" applyFont="1" applyFill="1" applyBorder="1" applyAlignment="1">
      <alignment horizontal="center" wrapText="1"/>
      <protection/>
    </xf>
    <xf numFmtId="176" fontId="0" fillId="26" borderId="41" xfId="54" applyNumberFormat="1" applyFont="1" applyFill="1" applyBorder="1" applyAlignment="1">
      <alignment horizontal="center" wrapText="1"/>
      <protection/>
    </xf>
    <xf numFmtId="176" fontId="107" fillId="26" borderId="15" xfId="54" applyNumberFormat="1" applyFont="1" applyFill="1" applyBorder="1" applyAlignment="1">
      <alignment horizontal="center" wrapText="1"/>
      <protection/>
    </xf>
    <xf numFmtId="176" fontId="107" fillId="26" borderId="41" xfId="54" applyNumberFormat="1" applyFont="1" applyFill="1" applyBorder="1" applyAlignment="1">
      <alignment horizontal="center" wrapText="1"/>
      <protection/>
    </xf>
    <xf numFmtId="0" fontId="36" fillId="0" borderId="0" xfId="54" applyFont="1" applyAlignment="1">
      <alignment horizontal="center"/>
      <protection/>
    </xf>
    <xf numFmtId="0" fontId="37" fillId="0" borderId="10" xfId="54" applyFont="1" applyBorder="1" applyAlignment="1">
      <alignment horizontal="center" vertical="center" wrapText="1"/>
      <protection/>
    </xf>
    <xf numFmtId="0" fontId="63" fillId="0" borderId="0" xfId="54" applyFont="1" applyAlignment="1">
      <alignment horizontal="center" wrapText="1"/>
      <protection/>
    </xf>
    <xf numFmtId="0" fontId="63" fillId="0" borderId="0" xfId="54" applyFont="1" applyAlignment="1">
      <alignment horizontal="center"/>
      <protection/>
    </xf>
    <xf numFmtId="0" fontId="64" fillId="0" borderId="0" xfId="54" applyFont="1" applyAlignment="1">
      <alignment horizontal="center" vertical="center" wrapText="1"/>
      <protection/>
    </xf>
    <xf numFmtId="0" fontId="37" fillId="0" borderId="10" xfId="54" applyFont="1" applyBorder="1" applyAlignment="1">
      <alignment horizontal="center" vertical="center"/>
      <protection/>
    </xf>
    <xf numFmtId="180" fontId="41" fillId="0" borderId="0" xfId="0" applyNumberFormat="1" applyFont="1" applyFill="1" applyAlignment="1">
      <alignment horizontal="justify" vertical="justify"/>
    </xf>
    <xf numFmtId="0" fontId="0" fillId="0" borderId="0" xfId="0" applyFill="1" applyAlignment="1">
      <alignment vertical="justify"/>
    </xf>
    <xf numFmtId="0" fontId="0" fillId="0" borderId="0" xfId="0" applyFont="1" applyFill="1" applyBorder="1" applyAlignment="1">
      <alignment horizontal="left" vertic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Обычный_Tarif_2002 год" xfId="57"/>
    <cellStyle name="Обычный_Tarif_97" xfId="58"/>
    <cellStyle name="Обычный_Книга1" xfId="59"/>
    <cellStyle name="Обычный_Тариф-изол.энергоузлы с сокращ,КАО" xfId="60"/>
    <cellStyle name="Обычный_тарифы на 2002г с 1-0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externalLink" Target="externalLinks/externalLink1.xml" /><Relationship Id="rId58" Type="http://schemas.openxmlformats.org/officeDocument/2006/relationships/externalLink" Target="externalLinks/externalLink2.xml" /><Relationship Id="rId59" Type="http://schemas.openxmlformats.org/officeDocument/2006/relationships/externalLink" Target="externalLinks/externalLink3.xml" /><Relationship Id="rId60" Type="http://schemas.openxmlformats.org/officeDocument/2006/relationships/externalLink" Target="externalLinks/externalLink4.xml" /><Relationship Id="rId61" Type="http://schemas.openxmlformats.org/officeDocument/2006/relationships/externalLink" Target="externalLinks/externalLink5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_FIN\&#1054;&#1090;&#1076;&#1077;&#1083;%20&#1101;&#1082;&#1086;&#1085;&#1086;&#1084;&#1080;&#1082;&#1080;\2_&#1058;&#1040;&#1056;&#1048;&#1060;&#1067;\&#1058;&#1072;&#1088;&#1080;&#1092;&#1099;%202017\&#1069;&#1083;&#1077;&#1082;&#1090;&#1088;&#1086;&#1101;&#1085;&#1077;&#1088;&#1075;&#1080;&#1103;__2017\&#1041;&#1072;&#1083;&#1072;&#1085;&#1089;%20&#1069;&#1069;__2017\&#1058;&#1069;&#1055;%202015-2017\&#1058;&#1069;&#1055;%20&#1087;&#1086;&#1084;&#1077;&#1089;&#1103;&#1095;&#1085;&#1086;%20&#1055;&#1051;&#1040;&#1053;%202016%20&#1075;&#1086;&#1076;%20&#1050;&#1072;&#1084;&#1095;&#1072;&#1090;%20&#1055;&#1054;%2028550%20(&#1087;&#1086;&#1076;%20&#1059;&#1056;&#1059;&#1058;%20395,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_FIN\&#1054;&#1090;&#1076;&#1077;&#1083;%20&#1101;&#1082;&#1086;&#1085;&#1086;&#1084;&#1080;&#1082;&#1080;\5_&#1048;&#1053;&#1042;&#1045;&#1057;&#1058;&#1048;&#1062;&#1048;&#1048;\0_&#1054;&#1058;&#1063;&#1045;&#1058;&#1067;%20&#1087;&#1086;%20&#1080;&#1085;&#1074;&#1077;&#1089;&#1090;&#1087;&#1088;&#1086;&#1077;&#1082;&#1090;&#1072;&#1084;\&#1054;&#1090;&#1095;&#1077;&#1090;%20&#1087;&#1086;%20&#1080;&#1085;&#1074;&#1077;&#1089;&#1090;%20&#1087;&#1088;&#1086;&#1077;&#1082;&#1090;&#1091;_2015\&#1069;&#1083;&#1077;&#1082;&#1090;&#1088;&#1086;&#1101;&#1085;&#1077;&#1088;&#1075;&#1077;&#1090;&#1080;&#1082;&#1072;\&#1054;&#1090;&#1095;&#1077;&#1090;_&#1080;&#1085;&#1074;&#1077;&#1089;&#1090;_4&#1082;&#1074;.2015%20&#1075;\&#1054;&#1090;&#1095;&#1077;&#1090;_&#1080;&#1085;&#1074;&#1077;&#1089;&#1090;_4%20&#1082;&#1074;.2015%20&#1075;%20&#1087;&#1086;%20&#1085;&#1086;&#1074;&#1086;&#1081;%20&#1048;&#105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r_FIN\&#1054;&#1090;&#1076;&#1077;&#1083;%20&#1101;&#1082;&#1086;&#1085;&#1086;&#1084;&#1080;&#1082;&#1080;\5_&#1048;&#1053;&#1042;&#1045;&#1057;&#1058;&#1048;&#1062;&#1048;&#1048;\0_&#1054;&#1058;&#1063;&#1045;&#1058;&#1067;%20&#1087;&#1086;%20&#1080;&#1085;&#1074;&#1077;&#1089;&#1090;&#1087;&#1088;&#1086;&#1077;&#1082;&#1090;&#1072;&#1084;\&#1054;&#1090;&#1095;&#1077;&#1090;%20&#1087;&#1086;%20&#1080;&#1085;&#1074;&#1077;&#1089;&#1090;%20&#1087;&#1088;&#1086;&#1077;&#1082;&#1090;&#1091;_2014\&#1054;&#1090;&#1095;&#1077;&#1090;%20&#1087;&#1086;%20&#1080;&#1085;&#1074;&#1077;&#1089;&#1090;%20&#1087;&#1088;&#1086;&#1075;&#1088;&#1072;&#1084;&#1084;&#1077;%20&#1079;&#1072;%204%20&#1082;&#1074;&#1072;&#1088;&#1090;&#1072;&#1083;%202014%20&#1075;&#1086;&#1076;&#1072;\&#1041;&#1077;&#1079;%20&#1050;&#1088;&#1091;&#1090;&#1086;&#1075;&#1086;&#1088;&#1086;&#1074;&#1086;!!!%20&#1054;&#1090;&#1095;&#1077;&#1090;_&#1080;&#1085;&#1074;&#1077;&#1089;&#1090;_4%20&#1082;&#1074;.2014%20&#10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Gr_FIN\&#1054;&#1090;&#1076;&#1077;&#1083;%20&#1101;&#1082;&#1086;&#1085;&#1086;&#1084;&#1080;&#1082;&#1080;\5_&#1048;&#1053;&#1042;&#1045;&#1057;&#1058;&#1048;&#1062;&#1048;&#1048;\1&#1069;&#1083;&#1077;&#1082;&#1090;&#1088;&#1086;&#1101;&#1085;&#1077;&#1088;&#1075;&#1077;&#1090;&#1080;&#1082;&#1072;\&#1048;&#1085;&#1074;&#1077;&#1089;&#1090;&#1087;&#1088;&#1086;&#1077;&#1082;&#1090;%20&#1069;&#1069;_&#1082;&#1086;&#1088;&#1088;&#1077;&#1082;&#1090;&#1080;&#1088;&#1086;&#1074;&#1082;&#1072;%202016_2019\&#1048;&#1055;%20&#1040;&#1054;%20&#1050;&#1086;&#1088;&#1103;&#1082;&#1101;&#1085;&#1077;&#1088;&#1075;&#1086;_%202016%20&#1075;&#1086;&#1076;%20(&#1076;&#1086;&#1088;&#1072;&#1073;&#1086;&#1090;&#1072;&#1085;&#1085;&#1072;&#1103;)\&#1048;&#1055;_&#1069;&#1069;_2016%20&#1075;&#1086;&#1076;%20&#1082;&#1086;&#1088;&#1088;&#1077;&#1082;&#1090;&#1080;&#1088;&#1086;&#1074;&#1082;&#1072;%202222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Gr_FIN\&#1054;&#1090;&#1076;&#1077;&#1083;%20&#1101;&#1082;&#1086;&#1085;&#1086;&#1084;&#1080;&#1082;&#1080;\2_&#1058;&#1040;&#1056;&#1048;&#1060;&#1067;\&#1058;&#1072;&#1088;&#1080;&#1092;&#1099;%202017\&#1069;&#1083;&#1077;&#1082;&#1090;&#1088;&#1086;&#1101;&#1085;&#1077;&#1088;&#1075;&#1080;&#1103;__2017\&#1041;&#1072;&#1083;&#1072;&#1085;&#1089;%20&#1069;&#1069;__2017\&#1058;&#1069;&#1055;%202015-2017\&#1058;&#1069;&#1055;%20&#1075;&#1086;&#1076;&#1086;&#1074;&#1086;&#1081;%20&#1052;&#1044;&#1069;&#1057;-8%20&#1090;&#1080;&#1083;&#1080;&#1095;&#1080;&#1082;&#1080;%202016%20-%20&#1074;&#1072;&#1088;&#1080;&#1072;&#1085;&#1090;%205%20&#1074;&#1099;&#1088;=7025%20+%20&#1090;&#1088;&#1072;&#1085;&#1089;&#1087;&#1086;&#1088;&#1090;%209152%20&#1057;&#1042;&#1054;&#1044;&#1053;&#1067;&#1049;%20(&#1075;&#1077;&#1085;+&#1090;&#1088;&#1072;&#1085;&#1089;&#1087;%20&#1089;%20&#1086;&#1076;&#1085;&#1086;&#108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ЭС Ильпырь Пос"/>
      <sheetName val="ДЭС Ильпырь ВЗ"/>
      <sheetName val="РЭС Ильпырь"/>
      <sheetName val="ДЭС Белореченское"/>
      <sheetName val="ДЭС Ильпырь ИТОГО"/>
      <sheetName val="ДЭС Тымлат"/>
      <sheetName val="ДЭС ТымлатРЗ"/>
      <sheetName val="ДЭС Тымлат ИТОГО"/>
      <sheetName val="КАРАГИНСКИЙ район"/>
      <sheetName val="ДЭС с. Крутогорово"/>
      <sheetName val="ДЭС Заря"/>
      <sheetName val="ДЭС ООО РК Круто"/>
      <sheetName val="ГДЭС-21 Крутогорово ИТОГО"/>
      <sheetName val="ДЭС с.Ича"/>
      <sheetName val="ДЭС Ича-фиш"/>
      <sheetName val="ДЭС-22 Ичинский ИТОГ"/>
      <sheetName val="СОБОЛЕВСКИЙ район"/>
      <sheetName val="ДЭС Тр.Зарево"/>
      <sheetName val="ЕЛИЗОВСКИЙ район"/>
      <sheetName val="ДЭС Шануч"/>
      <sheetName val="ДЭС Камголд"/>
      <sheetName val="БЫСТРИНСКИЙ р-н"/>
      <sheetName val="ДЭС-7 с.Апука"/>
      <sheetName val="ДЭС-7 с.Заречное"/>
      <sheetName val="РЭС-7 АПУКА"/>
      <sheetName val="ООО Апукин"/>
      <sheetName val="ООО Пенжин"/>
      <sheetName val="ДЭС-7 АПУКА ИТОГО"/>
      <sheetName val="ДЭС Пахачи Поселок"/>
      <sheetName val="ДЭС Пахачи ВЗ"/>
      <sheetName val="ПахПос+ПахВЗ"/>
      <sheetName val="ДЭС Дельфин"/>
      <sheetName val="ДЭС Олют.РЗ"/>
      <sheetName val="Дель+ОРЗ"/>
      <sheetName val="ДЭС ПАХАЧИ итого"/>
      <sheetName val="ДЭС Вывенка"/>
      <sheetName val="ДЭС Усть-Вывен"/>
      <sheetName val="ДЭС ООО Вывен"/>
      <sheetName val="ДЭС Залив Корфа"/>
      <sheetName val="ДЭС-28 Вывенка ИТОГО"/>
      <sheetName val="ДЭС Хаилино"/>
      <sheetName val="ДЭС Ачайваям"/>
      <sheetName val="ДЭС-16 Сред.Пахачи"/>
      <sheetName val="ДЭС КГД"/>
      <sheetName val="ОЛЮТОРСКИЙ р-н"/>
      <sheetName val="ДЭС-6 Таежный"/>
      <sheetName val="МИЛЬКОВСКИЙ р-н"/>
      <sheetName val="ДЭС-5 УХ (без Коврана)"/>
      <sheetName val="ДЭС-30 Ковран"/>
      <sheetName val="ДЭС-5 У-Х (с Ковраном)"/>
      <sheetName val="ДЭС-29 Верх.Хайрюзово"/>
      <sheetName val="ТИГИЛЬСКИЙ р-н"/>
      <sheetName val="ВСЕГО КорякЭнерго"/>
      <sheetName val="Ступени СН2 и НН"/>
      <sheetName val="Соболевский"/>
      <sheetName val="Олюторский"/>
      <sheetName val="Карагинский"/>
      <sheetName val="Тигильский"/>
      <sheetName val="Мильковский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.4"/>
      <sheetName val="5"/>
      <sheetName val="6.1"/>
      <sheetName val="6.2"/>
      <sheetName val="6.3"/>
      <sheetName val="7.1"/>
      <sheetName val="7.2"/>
      <sheetName val="8"/>
      <sheetName val="9"/>
      <sheetName val="10 (ДЭС с.Ковран) "/>
      <sheetName val="10 (ГСМ склад с.Ковран)"/>
      <sheetName val="10 (ГСМ склад с.Вывенка)"/>
      <sheetName val="10 (ГСМ склад с.Тиличики)"/>
      <sheetName val="10 (ГСМ склад с.Апука) "/>
      <sheetName val="10 (ДЭС с.Пахачи) "/>
      <sheetName val="10 (ДЭС с.Усть-Хайрюзово)"/>
      <sheetName val="10 (ДЭС с.Средние Пахачи)"/>
      <sheetName val="11.1 (ДЭС с.Ковран) "/>
      <sheetName val="11.1 (ГСМ склад с.Ковран)  "/>
      <sheetName val="11.1 (ГСМ склад с.Вывенка)"/>
      <sheetName val="11.1 (ГСМ склад с.Тиличики)"/>
      <sheetName val="11.1 (ГСМ склад с.Апука)  "/>
      <sheetName val="11.1 (ДЭС с.Пахачи) "/>
      <sheetName val="11.1 (ДЭС-5 с.УХ)"/>
      <sheetName val="11.1 (один ДГУ СрПах)"/>
      <sheetName val="11.2 (ДЭС с.Ковран)"/>
      <sheetName val="11.2 (Склад ГСМ с.Ковран)"/>
      <sheetName val="11.2 (Склад ГСМ с.Вывенка)"/>
      <sheetName val="11.2 (Склад ГСМ с.Тиличики)"/>
      <sheetName val="11.2 (Склад ГСМ с.Апука) "/>
      <sheetName val="11.2 (ДЭС с. Пахачи) "/>
      <sheetName val="11.2 (ДЭС-5 с. УХ)"/>
      <sheetName val="11.2 (один ДГУ СрПах)"/>
      <sheetName val="12"/>
      <sheetName val="13"/>
      <sheetName val="ФОТ"/>
      <sheetName val="Лист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.4"/>
      <sheetName val="5"/>
      <sheetName val="6.1"/>
      <sheetName val="6.2"/>
      <sheetName val="6.3"/>
      <sheetName val="7.1"/>
      <sheetName val="7.2"/>
      <sheetName val="8"/>
      <sheetName val="9"/>
      <sheetName val="10 (ДЭС с.Хаилино)"/>
      <sheetName val="10 (ДЭС с.Ковран) "/>
      <sheetName val="10 (ГСМ склад с.Ковран)"/>
      <sheetName val="10 (ГСМ склад с.Вывенка)"/>
      <sheetName val="10 (ГСМ склад с.Апука) "/>
      <sheetName val="10 (ДЭС с.Пахачи) "/>
      <sheetName val="10 (два ДГУ Хайрюз)"/>
      <sheetName val="10 (один ДГУ АпукаЗареч)"/>
      <sheetName val="10 (один ДГУ ИльпВодозаб)"/>
      <sheetName val="10 (разв.лаборат)"/>
      <sheetName val="10 (сепар Выв)"/>
      <sheetName val="10 (сепар Апук)"/>
      <sheetName val="10 (сепар Пах)"/>
      <sheetName val="10 (компр УХ)"/>
      <sheetName val="11.1 (ДЭС с.Хаилино)"/>
      <sheetName val="11.1 (ДЭС с.Ковран) "/>
      <sheetName val="11.1 (ГСМ склад с.Ковран)  "/>
      <sheetName val="11.1 (ГСМ склад с.Вывенка)"/>
      <sheetName val="11.1 (ГСМ склад с.Апука)  "/>
      <sheetName val="11.1 (ДЭС с.Пахачи) "/>
      <sheetName val="11.1 (два ДГУ Хайрюз)"/>
      <sheetName val="11.1 (один ДГУ АпукаЗареч)"/>
      <sheetName val="11.1 (один ДГУ ИльпВодоз)"/>
      <sheetName val="11.1 (сепар Выв)"/>
      <sheetName val="11.1 (сепар Апук)"/>
      <sheetName val="11.1 (сепар Пах)"/>
      <sheetName val="11.1 (компр УХ)"/>
      <sheetName val="11.1 (развит.лаборат)"/>
      <sheetName val="11.2 (ДЭС с.Хаилино)"/>
      <sheetName val="11.2 (ДЭС с.Ковран)"/>
      <sheetName val="11.2 (Склад ГСМ с.Ковран)"/>
      <sheetName val="11.2 (Склад ГСМ с.Вывенка)"/>
      <sheetName val="11.2 (Склад ГСМ с.Апука) "/>
      <sheetName val="11.2 (ДЭС с. Пахачи) "/>
      <sheetName val="11.2 (два ДГУ Хайрюз)"/>
      <sheetName val="11.2 (один ДГУ АпукаЗареч)"/>
      <sheetName val="11.2 (один ДГУ ИльпВодоз)"/>
      <sheetName val="11.2 (сепар Выв)"/>
      <sheetName val="11.2 (сепар Апук)"/>
      <sheetName val="11.2 (сепар Пахачи)"/>
      <sheetName val="11.2 (компр УХ)"/>
      <sheetName val="11.2 (развит.лаборат)"/>
      <sheetName val="12"/>
      <sheetName val="13"/>
      <sheetName val="ФОТ"/>
      <sheetName val="Лист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. "/>
      <sheetName val=" 1.3"/>
      <sheetName val="приложение 1.4 (2016 год)"/>
      <sheetName val=" 2.2"/>
      <sheetName val=" 2.3"/>
      <sheetName val="3.1"/>
      <sheetName val="3.2"/>
      <sheetName val=" 4.1"/>
      <sheetName val=" 4.2"/>
      <sheetName val="4.3"/>
      <sheetName val="График ввода ОС"/>
      <sheetName val="Кредит 1"/>
      <sheetName val="Кредит"/>
      <sheetName val="Целевые показатели"/>
      <sheetName val="5"/>
      <sheetName val="6.1"/>
      <sheetName val="6.2"/>
      <sheetName val="6.3"/>
      <sheetName val="7.1"/>
      <sheetName val="7.2"/>
      <sheetName val="8"/>
      <sheetName val="9"/>
      <sheetName val="10"/>
      <sheetName val="11.1"/>
      <sheetName val="11.2"/>
      <sheetName val="12"/>
      <sheetName val="13"/>
      <sheetName val="ФОТ"/>
      <sheetName val="Лист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comments" Target="../comments5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zoomScale="60" zoomScaleNormal="60" zoomScalePageLayoutView="0" workbookViewId="0" topLeftCell="A7">
      <selection activeCell="H43" sqref="H43"/>
    </sheetView>
  </sheetViews>
  <sheetFormatPr defaultColWidth="9.00390625" defaultRowHeight="15.75"/>
  <cols>
    <col min="1" max="1" width="9.00390625" style="1" customWidth="1"/>
    <col min="2" max="2" width="37.25390625" style="1" bestFit="1" customWidth="1"/>
    <col min="3" max="3" width="13.375" style="1" customWidth="1"/>
    <col min="4" max="4" width="9.25390625" style="1" bestFit="1" customWidth="1"/>
    <col min="5" max="5" width="12.00390625" style="129" customWidth="1"/>
    <col min="6" max="6" width="6.125" style="1" bestFit="1" customWidth="1"/>
    <col min="7" max="7" width="12.00390625" style="129" customWidth="1"/>
    <col min="8" max="8" width="6.125" style="1" bestFit="1" customWidth="1"/>
    <col min="9" max="9" width="12.00390625" style="129" customWidth="1"/>
    <col min="10" max="10" width="6.125" style="1" bestFit="1" customWidth="1"/>
    <col min="11" max="11" width="12.00390625" style="129" customWidth="1"/>
    <col min="12" max="12" width="6.125" style="1" bestFit="1" customWidth="1"/>
    <col min="13" max="13" width="12.00390625" style="129" customWidth="1"/>
    <col min="14" max="14" width="14.00390625" style="1" customWidth="1"/>
    <col min="15" max="15" width="12.25390625" style="1" customWidth="1"/>
    <col min="16" max="16" width="6.25390625" style="1" customWidth="1"/>
    <col min="17" max="18" width="14.375" style="1" customWidth="1"/>
    <col min="19" max="20" width="9.375" style="1" customWidth="1"/>
    <col min="21" max="21" width="18.875" style="1" customWidth="1"/>
    <col min="22" max="16384" width="9.00390625" style="1" customWidth="1"/>
  </cols>
  <sheetData>
    <row r="1" ht="15.75">
      <c r="U1" s="2"/>
    </row>
    <row r="2" ht="15.75">
      <c r="U2" s="2" t="s">
        <v>131</v>
      </c>
    </row>
    <row r="3" ht="15.75">
      <c r="U3" s="2" t="s">
        <v>37</v>
      </c>
    </row>
    <row r="4" ht="15.75">
      <c r="U4" s="2" t="s">
        <v>50</v>
      </c>
    </row>
    <row r="5" ht="15.75">
      <c r="U5" s="2"/>
    </row>
    <row r="6" ht="15.75">
      <c r="A6" s="13"/>
    </row>
    <row r="7" spans="1:21" ht="15.75">
      <c r="A7" s="913" t="s">
        <v>149</v>
      </c>
      <c r="B7" s="913"/>
      <c r="C7" s="913"/>
      <c r="D7" s="913"/>
      <c r="E7" s="913"/>
      <c r="F7" s="913"/>
      <c r="G7" s="913"/>
      <c r="H7" s="913"/>
      <c r="I7" s="913"/>
      <c r="J7" s="913"/>
      <c r="K7" s="913"/>
      <c r="L7" s="913"/>
      <c r="M7" s="913"/>
      <c r="N7" s="913"/>
      <c r="O7" s="913"/>
      <c r="P7" s="913"/>
      <c r="Q7" s="913"/>
      <c r="R7" s="913"/>
      <c r="S7" s="913"/>
      <c r="T7" s="913"/>
      <c r="U7" s="913"/>
    </row>
    <row r="8" spans="1:21" ht="15.75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</row>
    <row r="9" ht="15.75">
      <c r="U9" s="2" t="s">
        <v>38</v>
      </c>
    </row>
    <row r="10" ht="15.75">
      <c r="U10" s="2" t="s">
        <v>39</v>
      </c>
    </row>
    <row r="11" ht="15.75">
      <c r="U11" s="2"/>
    </row>
    <row r="12" ht="15.75">
      <c r="U12" s="84" t="s">
        <v>40</v>
      </c>
    </row>
    <row r="13" spans="1:21" ht="15.75">
      <c r="A13" s="13"/>
      <c r="U13" s="2" t="s">
        <v>41</v>
      </c>
    </row>
    <row r="14" spans="1:21" ht="15.75">
      <c r="A14" s="13"/>
      <c r="U14" s="2" t="s">
        <v>42</v>
      </c>
    </row>
    <row r="15" ht="16.5" thickBot="1"/>
    <row r="16" spans="1:21" ht="126" customHeight="1">
      <c r="A16" s="914" t="s">
        <v>251</v>
      </c>
      <c r="B16" s="917" t="s">
        <v>274</v>
      </c>
      <c r="C16" s="917" t="s">
        <v>143</v>
      </c>
      <c r="D16" s="917" t="s">
        <v>44</v>
      </c>
      <c r="E16" s="917"/>
      <c r="F16" s="917"/>
      <c r="G16" s="917"/>
      <c r="H16" s="917"/>
      <c r="I16" s="917"/>
      <c r="J16" s="917"/>
      <c r="K16" s="917"/>
      <c r="L16" s="917"/>
      <c r="M16" s="917"/>
      <c r="N16" s="919" t="s">
        <v>145</v>
      </c>
      <c r="O16" s="922" t="s">
        <v>146</v>
      </c>
      <c r="P16" s="923"/>
      <c r="Q16" s="923"/>
      <c r="R16" s="924"/>
      <c r="S16" s="922" t="s">
        <v>107</v>
      </c>
      <c r="T16" s="924"/>
      <c r="U16" s="925" t="s">
        <v>108</v>
      </c>
    </row>
    <row r="17" spans="1:21" ht="31.5" customHeight="1">
      <c r="A17" s="915"/>
      <c r="B17" s="910"/>
      <c r="C17" s="910"/>
      <c r="D17" s="910" t="s">
        <v>254</v>
      </c>
      <c r="E17" s="910"/>
      <c r="F17" s="910" t="s">
        <v>255</v>
      </c>
      <c r="G17" s="910"/>
      <c r="H17" s="910" t="s">
        <v>256</v>
      </c>
      <c r="I17" s="910"/>
      <c r="J17" s="910" t="s">
        <v>257</v>
      </c>
      <c r="K17" s="910"/>
      <c r="L17" s="910" t="s">
        <v>258</v>
      </c>
      <c r="M17" s="910"/>
      <c r="N17" s="920"/>
      <c r="O17" s="910" t="s">
        <v>292</v>
      </c>
      <c r="P17" s="910" t="s">
        <v>349</v>
      </c>
      <c r="Q17" s="910" t="s">
        <v>347</v>
      </c>
      <c r="R17" s="910"/>
      <c r="S17" s="929" t="s">
        <v>291</v>
      </c>
      <c r="T17" s="930"/>
      <c r="U17" s="926"/>
    </row>
    <row r="18" spans="1:21" ht="81.75" customHeight="1" thickBot="1">
      <c r="A18" s="916"/>
      <c r="B18" s="918"/>
      <c r="C18" s="918"/>
      <c r="D18" s="59" t="s">
        <v>139</v>
      </c>
      <c r="E18" s="59" t="s">
        <v>144</v>
      </c>
      <c r="F18" s="59" t="s">
        <v>259</v>
      </c>
      <c r="G18" s="59" t="s">
        <v>109</v>
      </c>
      <c r="H18" s="59" t="s">
        <v>259</v>
      </c>
      <c r="I18" s="59" t="s">
        <v>109</v>
      </c>
      <c r="J18" s="59" t="s">
        <v>259</v>
      </c>
      <c r="K18" s="59" t="s">
        <v>109</v>
      </c>
      <c r="L18" s="59" t="s">
        <v>259</v>
      </c>
      <c r="M18" s="59" t="s">
        <v>109</v>
      </c>
      <c r="N18" s="921"/>
      <c r="O18" s="918"/>
      <c r="P18" s="918"/>
      <c r="Q18" s="59" t="s">
        <v>346</v>
      </c>
      <c r="R18" s="59" t="s">
        <v>348</v>
      </c>
      <c r="S18" s="125" t="s">
        <v>147</v>
      </c>
      <c r="T18" s="125" t="s">
        <v>110</v>
      </c>
      <c r="U18" s="927"/>
    </row>
    <row r="19" spans="1:21" ht="15.75">
      <c r="A19" s="45"/>
      <c r="B19" s="46" t="s">
        <v>275</v>
      </c>
      <c r="C19" s="46"/>
      <c r="D19" s="46"/>
      <c r="E19" s="52"/>
      <c r="F19" s="46"/>
      <c r="G19" s="46"/>
      <c r="H19" s="52"/>
      <c r="I19" s="52"/>
      <c r="J19" s="46"/>
      <c r="K19" s="46"/>
      <c r="L19" s="52"/>
      <c r="M19" s="52"/>
      <c r="N19" s="52"/>
      <c r="O19" s="52"/>
      <c r="P19" s="52"/>
      <c r="Q19" s="52"/>
      <c r="R19" s="52"/>
      <c r="S19" s="126"/>
      <c r="T19" s="126"/>
      <c r="U19" s="53"/>
    </row>
    <row r="20" spans="1:21" ht="31.5">
      <c r="A20" s="23" t="s">
        <v>237</v>
      </c>
      <c r="B20" s="22" t="s">
        <v>354</v>
      </c>
      <c r="C20" s="22"/>
      <c r="D20" s="22"/>
      <c r="E20" s="22"/>
      <c r="F20" s="22"/>
      <c r="G20" s="22"/>
      <c r="H20" s="22"/>
      <c r="I20" s="22"/>
      <c r="J20" s="22"/>
      <c r="K20" s="22"/>
      <c r="L20" s="4"/>
      <c r="M20" s="4"/>
      <c r="N20" s="4"/>
      <c r="O20" s="4"/>
      <c r="P20" s="4"/>
      <c r="Q20" s="4"/>
      <c r="R20" s="4"/>
      <c r="S20" s="31"/>
      <c r="T20" s="31"/>
      <c r="U20" s="5"/>
    </row>
    <row r="21" spans="1:21" ht="31.5">
      <c r="A21" s="63" t="s">
        <v>238</v>
      </c>
      <c r="B21" s="22" t="s">
        <v>351</v>
      </c>
      <c r="C21" s="22"/>
      <c r="D21" s="22"/>
      <c r="E21" s="22"/>
      <c r="F21" s="22"/>
      <c r="G21" s="22"/>
      <c r="H21" s="22"/>
      <c r="I21" s="22"/>
      <c r="J21" s="22"/>
      <c r="K21" s="22"/>
      <c r="L21" s="4"/>
      <c r="M21" s="4"/>
      <c r="N21" s="4"/>
      <c r="O21" s="4"/>
      <c r="P21" s="4"/>
      <c r="Q21" s="4"/>
      <c r="R21" s="4"/>
      <c r="S21" s="31"/>
      <c r="T21" s="31"/>
      <c r="U21" s="5"/>
    </row>
    <row r="22" spans="1:21" ht="15.75">
      <c r="A22" s="15">
        <v>1</v>
      </c>
      <c r="B22" s="3" t="s">
        <v>276</v>
      </c>
      <c r="C22" s="3"/>
      <c r="D22" s="3"/>
      <c r="E22" s="4"/>
      <c r="F22" s="3"/>
      <c r="G22" s="4"/>
      <c r="H22" s="3"/>
      <c r="I22" s="4"/>
      <c r="J22" s="3"/>
      <c r="K22" s="4"/>
      <c r="L22" s="4"/>
      <c r="M22" s="4"/>
      <c r="N22" s="4"/>
      <c r="O22" s="4"/>
      <c r="P22" s="4"/>
      <c r="Q22" s="4"/>
      <c r="R22" s="4"/>
      <c r="S22" s="31"/>
      <c r="T22" s="31"/>
      <c r="U22" s="5"/>
    </row>
    <row r="23" spans="1:21" ht="15.75">
      <c r="A23" s="15">
        <v>2</v>
      </c>
      <c r="B23" s="3" t="s">
        <v>278</v>
      </c>
      <c r="C23" s="3"/>
      <c r="D23" s="3"/>
      <c r="E23" s="4"/>
      <c r="F23" s="3"/>
      <c r="G23" s="4"/>
      <c r="H23" s="3"/>
      <c r="I23" s="4"/>
      <c r="J23" s="3"/>
      <c r="K23" s="4"/>
      <c r="L23" s="4"/>
      <c r="M23" s="4"/>
      <c r="N23" s="4"/>
      <c r="O23" s="4"/>
      <c r="P23" s="4"/>
      <c r="Q23" s="4"/>
      <c r="R23" s="4"/>
      <c r="S23" s="31"/>
      <c r="T23" s="31"/>
      <c r="U23" s="5"/>
    </row>
    <row r="24" spans="1:21" ht="15.75">
      <c r="A24" s="54" t="s">
        <v>277</v>
      </c>
      <c r="B24" s="9"/>
      <c r="C24" s="9"/>
      <c r="D24" s="9"/>
      <c r="E24" s="55"/>
      <c r="F24" s="9"/>
      <c r="G24" s="55"/>
      <c r="H24" s="9"/>
      <c r="I24" s="55"/>
      <c r="J24" s="9"/>
      <c r="K24" s="55"/>
      <c r="L24" s="55"/>
      <c r="M24" s="55"/>
      <c r="N24" s="55"/>
      <c r="O24" s="55"/>
      <c r="P24" s="55"/>
      <c r="Q24" s="55"/>
      <c r="R24" s="55"/>
      <c r="S24" s="127"/>
      <c r="T24" s="127"/>
      <c r="U24" s="56"/>
    </row>
    <row r="25" spans="1:21" ht="31.5">
      <c r="A25" s="58" t="s">
        <v>239</v>
      </c>
      <c r="B25" s="57" t="s">
        <v>35</v>
      </c>
      <c r="C25" s="57"/>
      <c r="D25" s="9"/>
      <c r="E25" s="55"/>
      <c r="F25" s="9"/>
      <c r="G25" s="55"/>
      <c r="H25" s="9"/>
      <c r="I25" s="55"/>
      <c r="J25" s="9"/>
      <c r="K25" s="55"/>
      <c r="L25" s="55"/>
      <c r="M25" s="55"/>
      <c r="N25" s="55"/>
      <c r="O25" s="55"/>
      <c r="P25" s="55"/>
      <c r="Q25" s="55"/>
      <c r="R25" s="55"/>
      <c r="S25" s="127"/>
      <c r="T25" s="127"/>
      <c r="U25" s="56"/>
    </row>
    <row r="26" spans="1:21" ht="15.75">
      <c r="A26" s="15">
        <v>1</v>
      </c>
      <c r="B26" s="3" t="s">
        <v>276</v>
      </c>
      <c r="C26" s="9"/>
      <c r="D26" s="9"/>
      <c r="E26" s="55"/>
      <c r="F26" s="9"/>
      <c r="G26" s="55"/>
      <c r="H26" s="9"/>
      <c r="I26" s="55"/>
      <c r="J26" s="9"/>
      <c r="K26" s="55"/>
      <c r="L26" s="55"/>
      <c r="M26" s="55"/>
      <c r="N26" s="55"/>
      <c r="O26" s="55"/>
      <c r="P26" s="55"/>
      <c r="Q26" s="55"/>
      <c r="R26" s="55"/>
      <c r="S26" s="127"/>
      <c r="T26" s="127"/>
      <c r="U26" s="56"/>
    </row>
    <row r="27" spans="1:21" ht="15.75">
      <c r="A27" s="15">
        <v>2</v>
      </c>
      <c r="B27" s="3" t="s">
        <v>278</v>
      </c>
      <c r="C27" s="9"/>
      <c r="D27" s="9"/>
      <c r="E27" s="55"/>
      <c r="F27" s="9"/>
      <c r="G27" s="55"/>
      <c r="H27" s="9"/>
      <c r="I27" s="55"/>
      <c r="J27" s="9"/>
      <c r="K27" s="55"/>
      <c r="L27" s="55"/>
      <c r="M27" s="55"/>
      <c r="N27" s="55"/>
      <c r="O27" s="55"/>
      <c r="P27" s="55"/>
      <c r="Q27" s="55"/>
      <c r="R27" s="55"/>
      <c r="S27" s="127"/>
      <c r="T27" s="127"/>
      <c r="U27" s="56"/>
    </row>
    <row r="28" spans="1:21" ht="15.75">
      <c r="A28" s="54" t="s">
        <v>277</v>
      </c>
      <c r="B28" s="9"/>
      <c r="C28" s="9"/>
      <c r="D28" s="9"/>
      <c r="E28" s="55"/>
      <c r="F28" s="9"/>
      <c r="G28" s="55"/>
      <c r="H28" s="9"/>
      <c r="I28" s="55"/>
      <c r="J28" s="9"/>
      <c r="K28" s="55"/>
      <c r="L28" s="55"/>
      <c r="M28" s="55"/>
      <c r="N28" s="55"/>
      <c r="O28" s="55"/>
      <c r="P28" s="55"/>
      <c r="Q28" s="55"/>
      <c r="R28" s="55"/>
      <c r="S28" s="127"/>
      <c r="T28" s="127"/>
      <c r="U28" s="56"/>
    </row>
    <row r="29" spans="1:21" ht="31.5">
      <c r="A29" s="58" t="s">
        <v>250</v>
      </c>
      <c r="B29" s="57" t="s">
        <v>352</v>
      </c>
      <c r="C29" s="57"/>
      <c r="D29" s="9"/>
      <c r="E29" s="55"/>
      <c r="F29" s="9"/>
      <c r="G29" s="55"/>
      <c r="H29" s="9"/>
      <c r="I29" s="55"/>
      <c r="J29" s="9"/>
      <c r="K29" s="55"/>
      <c r="L29" s="55"/>
      <c r="M29" s="55"/>
      <c r="N29" s="55"/>
      <c r="O29" s="55"/>
      <c r="P29" s="55"/>
      <c r="Q29" s="55"/>
      <c r="R29" s="55"/>
      <c r="S29" s="127"/>
      <c r="T29" s="127"/>
      <c r="U29" s="56"/>
    </row>
    <row r="30" spans="1:21" ht="15.75">
      <c r="A30" s="54">
        <v>1</v>
      </c>
      <c r="B30" s="9" t="s">
        <v>276</v>
      </c>
      <c r="C30" s="9"/>
      <c r="D30" s="9"/>
      <c r="E30" s="55"/>
      <c r="F30" s="9"/>
      <c r="G30" s="55"/>
      <c r="H30" s="9"/>
      <c r="I30" s="55"/>
      <c r="J30" s="9"/>
      <c r="K30" s="55"/>
      <c r="L30" s="55"/>
      <c r="M30" s="55"/>
      <c r="N30" s="55"/>
      <c r="O30" s="55"/>
      <c r="P30" s="55"/>
      <c r="Q30" s="55"/>
      <c r="R30" s="55"/>
      <c r="S30" s="127"/>
      <c r="T30" s="127"/>
      <c r="U30" s="56"/>
    </row>
    <row r="31" spans="1:21" ht="15.75">
      <c r="A31" s="54">
        <v>2</v>
      </c>
      <c r="B31" s="9" t="s">
        <v>278</v>
      </c>
      <c r="C31" s="9"/>
      <c r="D31" s="9"/>
      <c r="E31" s="55"/>
      <c r="F31" s="9"/>
      <c r="G31" s="55"/>
      <c r="H31" s="9"/>
      <c r="I31" s="55"/>
      <c r="J31" s="9"/>
      <c r="K31" s="55"/>
      <c r="L31" s="55"/>
      <c r="M31" s="55"/>
      <c r="N31" s="55"/>
      <c r="O31" s="55"/>
      <c r="P31" s="55"/>
      <c r="Q31" s="55"/>
      <c r="R31" s="55"/>
      <c r="S31" s="127"/>
      <c r="T31" s="127"/>
      <c r="U31" s="56"/>
    </row>
    <row r="32" spans="1:21" ht="15.75">
      <c r="A32" s="54" t="s">
        <v>277</v>
      </c>
      <c r="B32" s="9"/>
      <c r="C32" s="9"/>
      <c r="D32" s="9"/>
      <c r="E32" s="55"/>
      <c r="F32" s="9"/>
      <c r="G32" s="55"/>
      <c r="H32" s="9"/>
      <c r="I32" s="55"/>
      <c r="J32" s="9"/>
      <c r="K32" s="55"/>
      <c r="L32" s="55"/>
      <c r="M32" s="55"/>
      <c r="N32" s="55"/>
      <c r="O32" s="55"/>
      <c r="P32" s="55"/>
      <c r="Q32" s="55"/>
      <c r="R32" s="55"/>
      <c r="S32" s="127"/>
      <c r="T32" s="127"/>
      <c r="U32" s="56"/>
    </row>
    <row r="33" spans="1:21" ht="47.25">
      <c r="A33" s="58" t="s">
        <v>267</v>
      </c>
      <c r="B33" s="57" t="s">
        <v>353</v>
      </c>
      <c r="C33" s="9"/>
      <c r="D33" s="9"/>
      <c r="E33" s="55"/>
      <c r="F33" s="9"/>
      <c r="G33" s="55"/>
      <c r="H33" s="9"/>
      <c r="I33" s="55"/>
      <c r="J33" s="9"/>
      <c r="K33" s="55"/>
      <c r="L33" s="55"/>
      <c r="M33" s="55"/>
      <c r="N33" s="55"/>
      <c r="O33" s="55"/>
      <c r="P33" s="55"/>
      <c r="Q33" s="55"/>
      <c r="R33" s="55"/>
      <c r="S33" s="127"/>
      <c r="T33" s="127"/>
      <c r="U33" s="56"/>
    </row>
    <row r="34" spans="1:21" ht="15.75">
      <c r="A34" s="54">
        <v>1</v>
      </c>
      <c r="B34" s="9" t="s">
        <v>276</v>
      </c>
      <c r="C34" s="9"/>
      <c r="D34" s="9"/>
      <c r="E34" s="55"/>
      <c r="F34" s="9"/>
      <c r="G34" s="55"/>
      <c r="H34" s="9"/>
      <c r="I34" s="55"/>
      <c r="J34" s="9"/>
      <c r="K34" s="55"/>
      <c r="L34" s="55"/>
      <c r="M34" s="55"/>
      <c r="N34" s="55"/>
      <c r="O34" s="55"/>
      <c r="P34" s="55"/>
      <c r="Q34" s="55"/>
      <c r="R34" s="55"/>
      <c r="S34" s="127"/>
      <c r="T34" s="127"/>
      <c r="U34" s="56"/>
    </row>
    <row r="35" spans="1:21" ht="15.75">
      <c r="A35" s="54">
        <v>2</v>
      </c>
      <c r="B35" s="9" t="s">
        <v>278</v>
      </c>
      <c r="C35" s="9"/>
      <c r="D35" s="9"/>
      <c r="E35" s="55"/>
      <c r="F35" s="9"/>
      <c r="G35" s="55"/>
      <c r="H35" s="9"/>
      <c r="I35" s="55"/>
      <c r="J35" s="9"/>
      <c r="K35" s="55"/>
      <c r="L35" s="55"/>
      <c r="M35" s="55"/>
      <c r="N35" s="55"/>
      <c r="O35" s="55"/>
      <c r="P35" s="55"/>
      <c r="Q35" s="55"/>
      <c r="R35" s="55"/>
      <c r="S35" s="127"/>
      <c r="T35" s="127"/>
      <c r="U35" s="56"/>
    </row>
    <row r="36" spans="1:21" ht="15.75">
      <c r="A36" s="54" t="s">
        <v>277</v>
      </c>
      <c r="B36" s="9"/>
      <c r="C36" s="9"/>
      <c r="D36" s="9"/>
      <c r="E36" s="55"/>
      <c r="F36" s="9"/>
      <c r="G36" s="55"/>
      <c r="H36" s="9"/>
      <c r="I36" s="55"/>
      <c r="J36" s="9"/>
      <c r="K36" s="55"/>
      <c r="L36" s="55"/>
      <c r="M36" s="55"/>
      <c r="N36" s="55"/>
      <c r="O36" s="55"/>
      <c r="P36" s="55"/>
      <c r="Q36" s="55"/>
      <c r="R36" s="55"/>
      <c r="S36" s="127"/>
      <c r="T36" s="127"/>
      <c r="U36" s="56"/>
    </row>
    <row r="37" spans="1:21" ht="15.75">
      <c r="A37" s="23" t="s">
        <v>240</v>
      </c>
      <c r="B37" s="22" t="s">
        <v>288</v>
      </c>
      <c r="C37" s="22"/>
      <c r="D37" s="22"/>
      <c r="E37" s="22"/>
      <c r="F37" s="22"/>
      <c r="G37" s="22"/>
      <c r="H37" s="22"/>
      <c r="I37" s="22"/>
      <c r="J37" s="22"/>
      <c r="K37" s="22"/>
      <c r="L37" s="4"/>
      <c r="M37" s="4"/>
      <c r="N37" s="4"/>
      <c r="O37" s="4"/>
      <c r="P37" s="4"/>
      <c r="Q37" s="4"/>
      <c r="R37" s="4"/>
      <c r="S37" s="31"/>
      <c r="T37" s="31"/>
      <c r="U37" s="5"/>
    </row>
    <row r="38" spans="1:21" ht="31.5">
      <c r="A38" s="63" t="s">
        <v>241</v>
      </c>
      <c r="B38" s="22" t="s">
        <v>351</v>
      </c>
      <c r="C38" s="22"/>
      <c r="D38" s="22"/>
      <c r="E38" s="22"/>
      <c r="F38" s="22"/>
      <c r="G38" s="22"/>
      <c r="H38" s="22"/>
      <c r="I38" s="22"/>
      <c r="J38" s="22"/>
      <c r="K38" s="22"/>
      <c r="L38" s="4"/>
      <c r="M38" s="4"/>
      <c r="N38" s="4"/>
      <c r="O38" s="4"/>
      <c r="P38" s="4"/>
      <c r="Q38" s="4"/>
      <c r="R38" s="4"/>
      <c r="S38" s="31"/>
      <c r="T38" s="31"/>
      <c r="U38" s="5"/>
    </row>
    <row r="39" spans="1:21" ht="15.75">
      <c r="A39" s="15">
        <v>1</v>
      </c>
      <c r="B39" s="3" t="s">
        <v>276</v>
      </c>
      <c r="C39" s="22"/>
      <c r="D39" s="22"/>
      <c r="E39" s="22"/>
      <c r="F39" s="22"/>
      <c r="G39" s="22"/>
      <c r="H39" s="22"/>
      <c r="I39" s="22"/>
      <c r="J39" s="22"/>
      <c r="K39" s="22"/>
      <c r="L39" s="4"/>
      <c r="M39" s="4"/>
      <c r="N39" s="4"/>
      <c r="O39" s="4"/>
      <c r="P39" s="4"/>
      <c r="Q39" s="4"/>
      <c r="R39" s="4"/>
      <c r="S39" s="31"/>
      <c r="T39" s="31"/>
      <c r="U39" s="5"/>
    </row>
    <row r="40" spans="1:21" ht="15.75">
      <c r="A40" s="15">
        <v>2</v>
      </c>
      <c r="B40" s="3" t="s">
        <v>278</v>
      </c>
      <c r="C40" s="22"/>
      <c r="D40" s="22"/>
      <c r="E40" s="22"/>
      <c r="F40" s="22"/>
      <c r="G40" s="22"/>
      <c r="H40" s="22"/>
      <c r="I40" s="22"/>
      <c r="J40" s="22"/>
      <c r="K40" s="22"/>
      <c r="L40" s="4"/>
      <c r="M40" s="4"/>
      <c r="N40" s="4"/>
      <c r="O40" s="4"/>
      <c r="P40" s="4"/>
      <c r="Q40" s="4"/>
      <c r="R40" s="4"/>
      <c r="S40" s="31"/>
      <c r="T40" s="31"/>
      <c r="U40" s="5"/>
    </row>
    <row r="41" spans="1:21" ht="15.75">
      <c r="A41" s="54" t="s">
        <v>277</v>
      </c>
      <c r="B41" s="9"/>
      <c r="C41" s="22"/>
      <c r="D41" s="22"/>
      <c r="E41" s="22"/>
      <c r="F41" s="22"/>
      <c r="G41" s="22"/>
      <c r="H41" s="22"/>
      <c r="I41" s="22"/>
      <c r="J41" s="22"/>
      <c r="K41" s="22"/>
      <c r="L41" s="4"/>
      <c r="M41" s="4"/>
      <c r="N41" s="4"/>
      <c r="O41" s="4"/>
      <c r="P41" s="4"/>
      <c r="Q41" s="4"/>
      <c r="R41" s="4"/>
      <c r="S41" s="31"/>
      <c r="T41" s="31"/>
      <c r="U41" s="5"/>
    </row>
    <row r="42" spans="1:21" ht="15.75">
      <c r="A42" s="85" t="s">
        <v>242</v>
      </c>
      <c r="B42" s="86" t="s">
        <v>43</v>
      </c>
      <c r="C42" s="22"/>
      <c r="D42" s="22"/>
      <c r="E42" s="22"/>
      <c r="F42" s="22"/>
      <c r="G42" s="22"/>
      <c r="H42" s="22"/>
      <c r="I42" s="22"/>
      <c r="J42" s="22"/>
      <c r="K42" s="22"/>
      <c r="L42" s="4"/>
      <c r="M42" s="4"/>
      <c r="N42" s="4"/>
      <c r="O42" s="4"/>
      <c r="P42" s="4"/>
      <c r="Q42" s="4"/>
      <c r="R42" s="4"/>
      <c r="S42" s="31"/>
      <c r="T42" s="31"/>
      <c r="U42" s="5"/>
    </row>
    <row r="43" spans="1:21" ht="15.75">
      <c r="A43" s="15">
        <v>1</v>
      </c>
      <c r="B43" s="3" t="s">
        <v>276</v>
      </c>
      <c r="C43" s="22"/>
      <c r="D43" s="22"/>
      <c r="E43" s="22"/>
      <c r="F43" s="22"/>
      <c r="G43" s="22"/>
      <c r="H43" s="22"/>
      <c r="I43" s="22"/>
      <c r="J43" s="22"/>
      <c r="K43" s="22"/>
      <c r="L43" s="4"/>
      <c r="M43" s="4"/>
      <c r="N43" s="4"/>
      <c r="O43" s="4"/>
      <c r="P43" s="4"/>
      <c r="Q43" s="4"/>
      <c r="R43" s="4"/>
      <c r="S43" s="31"/>
      <c r="T43" s="31"/>
      <c r="U43" s="5"/>
    </row>
    <row r="44" spans="1:21" ht="15.75">
      <c r="A44" s="15"/>
      <c r="B44" s="3" t="s">
        <v>362</v>
      </c>
      <c r="C44" s="22"/>
      <c r="D44" s="22"/>
      <c r="E44" s="22"/>
      <c r="F44" s="22"/>
      <c r="G44" s="22"/>
      <c r="H44" s="22"/>
      <c r="I44" s="22"/>
      <c r="J44" s="22"/>
      <c r="K44" s="22"/>
      <c r="L44" s="4"/>
      <c r="M44" s="4"/>
      <c r="N44" s="4"/>
      <c r="O44" s="4"/>
      <c r="P44" s="4"/>
      <c r="Q44" s="4"/>
      <c r="R44" s="4"/>
      <c r="S44" s="31"/>
      <c r="T44" s="31"/>
      <c r="U44" s="5"/>
    </row>
    <row r="45" spans="1:21" ht="15.75">
      <c r="A45" s="15">
        <v>2</v>
      </c>
      <c r="B45" s="3" t="s">
        <v>278</v>
      </c>
      <c r="C45" s="22"/>
      <c r="D45" s="22"/>
      <c r="E45" s="22"/>
      <c r="F45" s="22"/>
      <c r="G45" s="22"/>
      <c r="H45" s="22"/>
      <c r="I45" s="22"/>
      <c r="J45" s="22"/>
      <c r="K45" s="22"/>
      <c r="L45" s="4"/>
      <c r="M45" s="4"/>
      <c r="N45" s="4"/>
      <c r="O45" s="4"/>
      <c r="P45" s="4"/>
      <c r="Q45" s="4"/>
      <c r="R45" s="4"/>
      <c r="S45" s="31"/>
      <c r="T45" s="31"/>
      <c r="U45" s="5"/>
    </row>
    <row r="46" spans="1:21" ht="15.75">
      <c r="A46" s="15"/>
      <c r="B46" s="3" t="s">
        <v>362</v>
      </c>
      <c r="C46" s="3"/>
      <c r="D46" s="3"/>
      <c r="E46" s="4"/>
      <c r="F46" s="3"/>
      <c r="G46" s="4"/>
      <c r="H46" s="3"/>
      <c r="I46" s="4"/>
      <c r="J46" s="3"/>
      <c r="K46" s="4"/>
      <c r="L46" s="4"/>
      <c r="M46" s="4"/>
      <c r="N46" s="4"/>
      <c r="O46" s="4"/>
      <c r="P46" s="4"/>
      <c r="Q46" s="4"/>
      <c r="R46" s="4"/>
      <c r="S46" s="31"/>
      <c r="T46" s="31"/>
      <c r="U46" s="5"/>
    </row>
    <row r="47" spans="1:21" ht="15.75">
      <c r="A47" s="15" t="s">
        <v>277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31"/>
      <c r="T47" s="31"/>
      <c r="U47" s="5"/>
    </row>
    <row r="48" spans="1:21" ht="15.75">
      <c r="A48" s="911" t="s">
        <v>329</v>
      </c>
      <c r="B48" s="912"/>
      <c r="C48" s="9"/>
      <c r="D48" s="9"/>
      <c r="E48" s="55"/>
      <c r="F48" s="9"/>
      <c r="G48" s="55"/>
      <c r="H48" s="9"/>
      <c r="I48" s="55"/>
      <c r="J48" s="9"/>
      <c r="K48" s="55"/>
      <c r="L48" s="55"/>
      <c r="M48" s="55"/>
      <c r="N48" s="55"/>
      <c r="O48" s="55"/>
      <c r="P48" s="55"/>
      <c r="Q48" s="55"/>
      <c r="R48" s="55"/>
      <c r="S48" s="127"/>
      <c r="T48" s="127"/>
      <c r="U48" s="56"/>
    </row>
    <row r="49" spans="1:21" ht="31.5">
      <c r="A49" s="58"/>
      <c r="B49" s="57" t="s">
        <v>350</v>
      </c>
      <c r="C49" s="57"/>
      <c r="D49" s="9"/>
      <c r="E49" s="55"/>
      <c r="F49" s="9"/>
      <c r="G49" s="55"/>
      <c r="H49" s="9"/>
      <c r="I49" s="55"/>
      <c r="J49" s="9"/>
      <c r="K49" s="55"/>
      <c r="L49" s="55"/>
      <c r="M49" s="55"/>
      <c r="N49" s="55"/>
      <c r="O49" s="55"/>
      <c r="P49" s="55"/>
      <c r="Q49" s="55"/>
      <c r="R49" s="55"/>
      <c r="S49" s="127"/>
      <c r="T49" s="127"/>
      <c r="U49" s="56"/>
    </row>
    <row r="50" spans="1:21" ht="15.75">
      <c r="A50" s="54">
        <v>1</v>
      </c>
      <c r="B50" s="9" t="s">
        <v>276</v>
      </c>
      <c r="C50" s="9"/>
      <c r="D50" s="9"/>
      <c r="E50" s="55"/>
      <c r="F50" s="9"/>
      <c r="G50" s="55"/>
      <c r="H50" s="9"/>
      <c r="I50" s="55"/>
      <c r="J50" s="9"/>
      <c r="K50" s="55"/>
      <c r="L50" s="55"/>
      <c r="M50" s="55"/>
      <c r="N50" s="55"/>
      <c r="O50" s="55"/>
      <c r="P50" s="55"/>
      <c r="Q50" s="55"/>
      <c r="R50" s="55"/>
      <c r="S50" s="127"/>
      <c r="T50" s="127"/>
      <c r="U50" s="56"/>
    </row>
    <row r="51" spans="1:21" ht="15.75">
      <c r="A51" s="54">
        <v>2</v>
      </c>
      <c r="B51" s="9" t="s">
        <v>278</v>
      </c>
      <c r="C51" s="9"/>
      <c r="D51" s="9"/>
      <c r="E51" s="55"/>
      <c r="F51" s="9"/>
      <c r="G51" s="55"/>
      <c r="H51" s="9"/>
      <c r="I51" s="55"/>
      <c r="J51" s="9"/>
      <c r="K51" s="55"/>
      <c r="L51" s="55"/>
      <c r="M51" s="55"/>
      <c r="N51" s="55"/>
      <c r="O51" s="55"/>
      <c r="P51" s="55"/>
      <c r="Q51" s="55"/>
      <c r="R51" s="55"/>
      <c r="S51" s="127"/>
      <c r="T51" s="127"/>
      <c r="U51" s="56"/>
    </row>
    <row r="52" spans="1:21" ht="16.5" thickBot="1">
      <c r="A52" s="49" t="s">
        <v>277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128"/>
      <c r="T52" s="128"/>
      <c r="U52" s="51"/>
    </row>
    <row r="53" spans="1:21" ht="15.75">
      <c r="A53" s="47"/>
      <c r="B53" s="47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</row>
    <row r="54" spans="1:21" ht="15.75">
      <c r="A54" s="47"/>
      <c r="B54" s="928" t="s">
        <v>142</v>
      </c>
      <c r="C54" s="928"/>
      <c r="D54" s="928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</row>
    <row r="55" spans="1:21" ht="15.75">
      <c r="A55" s="47"/>
      <c r="B55" s="48" t="s">
        <v>140</v>
      </c>
      <c r="C55" s="30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</row>
    <row r="56" spans="1:21" ht="15.75">
      <c r="A56" s="47"/>
      <c r="B56" s="928" t="s">
        <v>141</v>
      </c>
      <c r="C56" s="928"/>
      <c r="D56" s="928"/>
      <c r="E56" s="928"/>
      <c r="F56" s="928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</row>
    <row r="57" spans="1:21" ht="15.75">
      <c r="A57" s="24"/>
      <c r="B57" s="1" t="s">
        <v>148</v>
      </c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5.75">
      <c r="A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5.75">
      <c r="A59" s="24"/>
      <c r="B59" s="909" t="s">
        <v>48</v>
      </c>
      <c r="C59" s="909"/>
      <c r="D59" s="909"/>
      <c r="E59" s="909"/>
      <c r="F59" s="909"/>
      <c r="G59" s="909"/>
      <c r="H59" s="909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21" ht="15.75">
      <c r="A60" s="24"/>
      <c r="B60" s="10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</row>
    <row r="61" spans="1:21" ht="15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</row>
    <row r="62" ht="15.75">
      <c r="A62" s="11"/>
    </row>
    <row r="63" spans="1:9" ht="15.75">
      <c r="A63" s="17"/>
      <c r="C63" s="18"/>
      <c r="G63" s="26"/>
      <c r="H63" s="19"/>
      <c r="I63" s="26"/>
    </row>
    <row r="64" spans="4:21" ht="15.75">
      <c r="D64" s="21"/>
      <c r="G64" s="20"/>
      <c r="I64" s="20"/>
      <c r="J64" s="20"/>
      <c r="K64" s="20"/>
      <c r="M64" s="26"/>
      <c r="N64" s="26"/>
      <c r="O64" s="26"/>
      <c r="P64" s="26"/>
      <c r="Q64" s="26"/>
      <c r="R64" s="26"/>
      <c r="S64" s="26"/>
      <c r="T64" s="26"/>
      <c r="U64" s="19"/>
    </row>
    <row r="65" spans="1:9" ht="15.75">
      <c r="A65" s="14"/>
      <c r="D65" s="13"/>
      <c r="I65" s="124"/>
    </row>
  </sheetData>
  <sheetProtection/>
  <mergeCells count="22">
    <mergeCell ref="O17:O18"/>
    <mergeCell ref="U16:U18"/>
    <mergeCell ref="B56:F56"/>
    <mergeCell ref="B54:D54"/>
    <mergeCell ref="S17:T17"/>
    <mergeCell ref="P17:P18"/>
    <mergeCell ref="A7:U7"/>
    <mergeCell ref="A16:A18"/>
    <mergeCell ref="B16:B18"/>
    <mergeCell ref="C16:C18"/>
    <mergeCell ref="D16:M16"/>
    <mergeCell ref="N16:N18"/>
    <mergeCell ref="O16:R16"/>
    <mergeCell ref="S16:T16"/>
    <mergeCell ref="L17:M17"/>
    <mergeCell ref="Q17:R17"/>
    <mergeCell ref="B59:H59"/>
    <mergeCell ref="F17:G17"/>
    <mergeCell ref="H17:I17"/>
    <mergeCell ref="J17:K17"/>
    <mergeCell ref="D17:E17"/>
    <mergeCell ref="A48:B48"/>
  </mergeCells>
  <printOptions/>
  <pageMargins left="0.7" right="0.7" top="0.75" bottom="0.75" header="0.3" footer="0.3"/>
  <pageSetup fitToHeight="1" fitToWidth="1" horizontalDpi="600" verticalDpi="600" orientation="landscape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68"/>
  <sheetViews>
    <sheetView view="pageBreakPreview" zoomScale="60" zoomScaleNormal="70" zoomScalePageLayoutView="0" workbookViewId="0" topLeftCell="A5">
      <pane xSplit="2" topLeftCell="C1" activePane="topRight" state="frozen"/>
      <selection pane="topLeft" activeCell="AL5" sqref="AL5"/>
      <selection pane="topRight" activeCell="G19" sqref="G19"/>
    </sheetView>
  </sheetViews>
  <sheetFormatPr defaultColWidth="9.00390625" defaultRowHeight="15.75"/>
  <cols>
    <col min="1" max="1" width="7.25390625" style="108" customWidth="1"/>
    <col min="2" max="2" width="51.375" style="108" customWidth="1"/>
    <col min="3" max="22" width="10.625" style="108" customWidth="1"/>
    <col min="23" max="16384" width="9.00390625" style="108" customWidth="1"/>
  </cols>
  <sheetData>
    <row r="1" spans="13:22" ht="15.75">
      <c r="M1" s="109"/>
      <c r="V1" s="195" t="s">
        <v>530</v>
      </c>
    </row>
    <row r="2" spans="13:22" ht="15.75">
      <c r="M2" s="109"/>
      <c r="V2" s="195" t="s">
        <v>37</v>
      </c>
    </row>
    <row r="3" spans="13:22" ht="15.75">
      <c r="M3" s="109"/>
      <c r="V3" s="289" t="s">
        <v>379</v>
      </c>
    </row>
    <row r="4" spans="13:22" ht="15.75">
      <c r="M4" s="109"/>
      <c r="V4" s="109"/>
    </row>
    <row r="5" spans="13:22" ht="33.75" customHeight="1">
      <c r="M5" s="109"/>
      <c r="V5" s="283" t="s">
        <v>38</v>
      </c>
    </row>
    <row r="6" spans="13:22" ht="18.75">
      <c r="M6" s="109"/>
      <c r="V6" s="283" t="s">
        <v>647</v>
      </c>
    </row>
    <row r="7" spans="13:22" ht="18.75">
      <c r="M7" s="109"/>
      <c r="V7" s="283"/>
    </row>
    <row r="8" spans="13:22" ht="18.75">
      <c r="M8" s="109"/>
      <c r="V8" s="283" t="s">
        <v>648</v>
      </c>
    </row>
    <row r="9" spans="13:22" ht="18.75">
      <c r="M9" s="109"/>
      <c r="V9" s="283" t="s">
        <v>795</v>
      </c>
    </row>
    <row r="10" spans="13:22" ht="18.75">
      <c r="M10" s="109"/>
      <c r="V10" s="283" t="s">
        <v>42</v>
      </c>
    </row>
    <row r="11" spans="1:22" ht="31.5" customHeight="1">
      <c r="A11" s="1000" t="s">
        <v>788</v>
      </c>
      <c r="B11" s="1001"/>
      <c r="C11" s="1001"/>
      <c r="D11" s="1001"/>
      <c r="E11" s="1001"/>
      <c r="F11" s="1001"/>
      <c r="G11" s="1001"/>
      <c r="H11" s="1001"/>
      <c r="I11" s="1001"/>
      <c r="J11" s="1001"/>
      <c r="K11" s="1001"/>
      <c r="L11" s="1001"/>
      <c r="M11" s="1001"/>
      <c r="N11" s="1001"/>
      <c r="O11" s="1001"/>
      <c r="P11" s="1001"/>
      <c r="Q11" s="1001"/>
      <c r="R11" s="1001"/>
      <c r="S11" s="1001"/>
      <c r="T11" s="1001"/>
      <c r="U11" s="1001"/>
      <c r="V11" s="1001"/>
    </row>
    <row r="12" spans="1:22" ht="33.75" customHeight="1">
      <c r="A12" s="1002" t="s">
        <v>651</v>
      </c>
      <c r="B12" s="1002"/>
      <c r="C12" s="1002"/>
      <c r="D12" s="1002"/>
      <c r="E12" s="1002"/>
      <c r="F12" s="1002"/>
      <c r="G12" s="1002"/>
      <c r="H12" s="1002"/>
      <c r="I12" s="1002"/>
      <c r="J12" s="1002"/>
      <c r="K12" s="1002"/>
      <c r="L12" s="1002"/>
      <c r="M12" s="1002"/>
      <c r="N12" s="1002"/>
      <c r="O12" s="1002"/>
      <c r="P12" s="1002"/>
      <c r="Q12" s="1002"/>
      <c r="R12" s="1002"/>
      <c r="S12" s="1002"/>
      <c r="T12" s="1002"/>
      <c r="U12" s="1002"/>
      <c r="V12" s="1002"/>
    </row>
    <row r="14" spans="1:22" ht="15.75" customHeight="1">
      <c r="A14" s="1003" t="s">
        <v>236</v>
      </c>
      <c r="B14" s="1003" t="s">
        <v>290</v>
      </c>
      <c r="C14" s="1004" t="s">
        <v>281</v>
      </c>
      <c r="D14" s="1004"/>
      <c r="E14" s="1004"/>
      <c r="F14" s="1004"/>
      <c r="G14" s="1004"/>
      <c r="H14" s="1004"/>
      <c r="I14" s="1004"/>
      <c r="J14" s="1004"/>
      <c r="K14" s="1004"/>
      <c r="L14" s="1004"/>
      <c r="M14" s="1004" t="s">
        <v>345</v>
      </c>
      <c r="N14" s="1004"/>
      <c r="O14" s="1004"/>
      <c r="P14" s="1004"/>
      <c r="Q14" s="1004"/>
      <c r="R14" s="1004"/>
      <c r="S14" s="1004"/>
      <c r="T14" s="1004"/>
      <c r="U14" s="1004"/>
      <c r="V14" s="1004"/>
    </row>
    <row r="15" spans="1:22" ht="15.75" customHeight="1">
      <c r="A15" s="1003"/>
      <c r="B15" s="1003"/>
      <c r="C15" s="1005" t="s">
        <v>343</v>
      </c>
      <c r="D15" s="1005"/>
      <c r="E15" s="1005"/>
      <c r="F15" s="1005"/>
      <c r="G15" s="1005"/>
      <c r="H15" s="1005" t="s">
        <v>260</v>
      </c>
      <c r="I15" s="1005"/>
      <c r="J15" s="1005"/>
      <c r="K15" s="1005"/>
      <c r="L15" s="1005"/>
      <c r="M15" s="1004" t="s">
        <v>343</v>
      </c>
      <c r="N15" s="1004"/>
      <c r="O15" s="1004"/>
      <c r="P15" s="1004"/>
      <c r="Q15" s="1004"/>
      <c r="R15" s="1005" t="s">
        <v>260</v>
      </c>
      <c r="S15" s="1005"/>
      <c r="T15" s="1005"/>
      <c r="U15" s="1005"/>
      <c r="V15" s="1005"/>
    </row>
    <row r="16" spans="1:22" ht="15.75" customHeight="1">
      <c r="A16" s="1003"/>
      <c r="B16" s="1003"/>
      <c r="C16" s="997" t="s">
        <v>291</v>
      </c>
      <c r="D16" s="997"/>
      <c r="E16" s="997"/>
      <c r="F16" s="997"/>
      <c r="G16" s="997"/>
      <c r="H16" s="997" t="s">
        <v>291</v>
      </c>
      <c r="I16" s="997"/>
      <c r="J16" s="997"/>
      <c r="K16" s="997"/>
      <c r="L16" s="997"/>
      <c r="M16" s="997" t="s">
        <v>291</v>
      </c>
      <c r="N16" s="997"/>
      <c r="O16" s="997"/>
      <c r="P16" s="997"/>
      <c r="Q16" s="997"/>
      <c r="R16" s="997" t="s">
        <v>291</v>
      </c>
      <c r="S16" s="997"/>
      <c r="T16" s="997"/>
      <c r="U16" s="997"/>
      <c r="V16" s="997"/>
    </row>
    <row r="17" spans="1:22" ht="40.5" customHeight="1">
      <c r="A17" s="1003"/>
      <c r="B17" s="1003"/>
      <c r="C17" s="385" t="s">
        <v>612</v>
      </c>
      <c r="D17" s="385" t="s">
        <v>613</v>
      </c>
      <c r="E17" s="385" t="s">
        <v>614</v>
      </c>
      <c r="F17" s="385" t="s">
        <v>615</v>
      </c>
      <c r="G17" s="385" t="s">
        <v>616</v>
      </c>
      <c r="H17" s="385" t="s">
        <v>612</v>
      </c>
      <c r="I17" s="385" t="s">
        <v>613</v>
      </c>
      <c r="J17" s="385" t="s">
        <v>614</v>
      </c>
      <c r="K17" s="385" t="s">
        <v>615</v>
      </c>
      <c r="L17" s="385" t="s">
        <v>616</v>
      </c>
      <c r="M17" s="385" t="s">
        <v>612</v>
      </c>
      <c r="N17" s="385" t="s">
        <v>613</v>
      </c>
      <c r="O17" s="385" t="s">
        <v>614</v>
      </c>
      <c r="P17" s="385" t="s">
        <v>615</v>
      </c>
      <c r="Q17" s="385" t="s">
        <v>616</v>
      </c>
      <c r="R17" s="385" t="s">
        <v>612</v>
      </c>
      <c r="S17" s="385" t="s">
        <v>613</v>
      </c>
      <c r="T17" s="385" t="s">
        <v>614</v>
      </c>
      <c r="U17" s="385" t="s">
        <v>615</v>
      </c>
      <c r="V17" s="385" t="s">
        <v>616</v>
      </c>
    </row>
    <row r="18" spans="1:22" ht="15.75">
      <c r="A18" s="386">
        <v>1</v>
      </c>
      <c r="B18" s="386">
        <v>2</v>
      </c>
      <c r="C18" s="443">
        <v>3</v>
      </c>
      <c r="D18" s="443">
        <v>4</v>
      </c>
      <c r="E18" s="443">
        <v>5</v>
      </c>
      <c r="F18" s="443">
        <v>6</v>
      </c>
      <c r="G18" s="443">
        <v>7</v>
      </c>
      <c r="H18" s="443">
        <v>8</v>
      </c>
      <c r="I18" s="443">
        <v>9</v>
      </c>
      <c r="J18" s="443">
        <v>10</v>
      </c>
      <c r="K18" s="443">
        <v>11</v>
      </c>
      <c r="L18" s="443">
        <v>12</v>
      </c>
      <c r="M18" s="443">
        <v>13</v>
      </c>
      <c r="N18" s="443">
        <v>14</v>
      </c>
      <c r="O18" s="443">
        <v>15</v>
      </c>
      <c r="P18" s="443">
        <v>16</v>
      </c>
      <c r="Q18" s="443">
        <v>17</v>
      </c>
      <c r="R18" s="443">
        <v>18</v>
      </c>
      <c r="S18" s="443">
        <v>19</v>
      </c>
      <c r="T18" s="443">
        <v>20</v>
      </c>
      <c r="U18" s="443">
        <v>21</v>
      </c>
      <c r="V18" s="443">
        <v>22</v>
      </c>
    </row>
    <row r="19" spans="1:22" ht="31.5">
      <c r="A19" s="385">
        <v>1</v>
      </c>
      <c r="B19" s="429" t="str">
        <f>'7.1'!B20</f>
        <v>Реконструкция электроснабжения с. Усть-Хайрюзово (техническое перевооружение ДЭС)</v>
      </c>
      <c r="C19" s="385"/>
      <c r="D19" s="385" t="s">
        <v>721</v>
      </c>
      <c r="E19" s="385"/>
      <c r="F19" s="385"/>
      <c r="G19" s="385" t="s">
        <v>721</v>
      </c>
      <c r="H19" s="385"/>
      <c r="I19" s="385" t="s">
        <v>783</v>
      </c>
      <c r="J19" s="385"/>
      <c r="K19" s="385" t="s">
        <v>783</v>
      </c>
      <c r="L19" s="385" t="s">
        <v>809</v>
      </c>
      <c r="M19" s="385"/>
      <c r="N19" s="385"/>
      <c r="O19" s="385"/>
      <c r="P19" s="385" t="str">
        <f>Q19</f>
        <v>0,4МВт</v>
      </c>
      <c r="Q19" s="385" t="s">
        <v>629</v>
      </c>
      <c r="R19" s="385"/>
      <c r="S19" s="385"/>
      <c r="T19" s="385"/>
      <c r="U19" s="385" t="s">
        <v>810</v>
      </c>
      <c r="V19" s="385" t="str">
        <f>U19</f>
        <v>2МВт</v>
      </c>
    </row>
    <row r="20" spans="1:22" ht="15.75">
      <c r="A20" s="385">
        <v>2</v>
      </c>
      <c r="B20" s="429" t="str">
        <f>'7.1'!B21</f>
        <v>Установка одного ДГУ на ДЭС-6 п. Таежный</v>
      </c>
      <c r="C20" s="385"/>
      <c r="D20" s="385"/>
      <c r="E20" s="385"/>
      <c r="F20" s="385" t="str">
        <f>G20</f>
        <v>0,08МВт</v>
      </c>
      <c r="G20" s="385" t="s">
        <v>722</v>
      </c>
      <c r="H20" s="385"/>
      <c r="I20" s="385"/>
      <c r="J20" s="385" t="s">
        <v>722</v>
      </c>
      <c r="K20" s="385"/>
      <c r="L20" s="385" t="str">
        <f>J20</f>
        <v>0,08МВт</v>
      </c>
      <c r="M20" s="385"/>
      <c r="N20" s="385"/>
      <c r="O20" s="385"/>
      <c r="P20" s="385" t="str">
        <f>Q20</f>
        <v>0,033МВт</v>
      </c>
      <c r="Q20" s="385" t="s">
        <v>728</v>
      </c>
      <c r="R20" s="385"/>
      <c r="S20" s="385"/>
      <c r="T20" s="385"/>
      <c r="U20" s="385"/>
      <c r="V20" s="385"/>
    </row>
    <row r="21" spans="1:22" ht="70.5" customHeight="1">
      <c r="A21" s="385">
        <v>3</v>
      </c>
      <c r="B21" s="429" t="str">
        <f>'7.1'!B22</f>
        <v>Реконструкция основных генерирующих мощностей модульной ДЭС-8 с.Верхние Тиличики Олюторского района на основе полной замены основного генерирующего оборудования взамен изношенного</v>
      </c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5"/>
    </row>
    <row r="22" spans="1:22" ht="31.5">
      <c r="A22" s="385">
        <v>4</v>
      </c>
      <c r="B22" s="429" t="str">
        <f>'7.1'!B23</f>
        <v>Установка одного ДГУ на ДЭС-16 п.Средние Пахачи****</v>
      </c>
      <c r="C22" s="385"/>
      <c r="D22" s="385" t="str">
        <f>G22</f>
        <v>0,4МВт</v>
      </c>
      <c r="E22" s="385"/>
      <c r="F22" s="385"/>
      <c r="G22" s="385" t="s">
        <v>629</v>
      </c>
      <c r="H22" s="385" t="s">
        <v>629</v>
      </c>
      <c r="I22" s="385"/>
      <c r="J22" s="385"/>
      <c r="K22" s="385"/>
      <c r="L22" s="385" t="str">
        <f>H22</f>
        <v>0,4МВт</v>
      </c>
      <c r="M22" s="385"/>
      <c r="N22" s="385"/>
      <c r="O22" s="385"/>
      <c r="P22" s="385"/>
      <c r="Q22" s="385"/>
      <c r="R22" s="385"/>
      <c r="S22" s="385"/>
      <c r="T22" s="385"/>
      <c r="U22" s="385"/>
      <c r="V22" s="385"/>
    </row>
    <row r="23" spans="1:22" ht="31.5">
      <c r="A23" s="385">
        <v>5</v>
      </c>
      <c r="B23" s="429" t="str">
        <f>'7.1'!B25</f>
        <v>Реконструкции ТП-2 "Поселок" с. Хаилино (техприсоединение ФАП)</v>
      </c>
      <c r="C23" s="385"/>
      <c r="D23" s="385"/>
      <c r="E23" s="385" t="str">
        <f>G23</f>
        <v>0,400МВт</v>
      </c>
      <c r="F23" s="385"/>
      <c r="G23" s="385" t="s">
        <v>723</v>
      </c>
      <c r="H23" s="385"/>
      <c r="I23" s="385"/>
      <c r="J23" s="385" t="s">
        <v>723</v>
      </c>
      <c r="K23" s="385"/>
      <c r="L23" s="385" t="str">
        <f>J23</f>
        <v>0,400МВт</v>
      </c>
      <c r="M23" s="385"/>
      <c r="N23" s="385"/>
      <c r="O23" s="385" t="str">
        <f>Q23</f>
        <v>0,250МВт</v>
      </c>
      <c r="P23" s="385"/>
      <c r="Q23" s="385" t="s">
        <v>729</v>
      </c>
      <c r="R23" s="385"/>
      <c r="S23" s="385"/>
      <c r="T23" s="385" t="s">
        <v>729</v>
      </c>
      <c r="U23" s="385"/>
      <c r="V23" s="385" t="str">
        <f>T23</f>
        <v>0,250МВт</v>
      </c>
    </row>
    <row r="24" spans="1:22" ht="47.25">
      <c r="A24" s="428">
        <v>6</v>
      </c>
      <c r="B24" s="429" t="str">
        <f>'7.1'!B26</f>
        <v>Реконструкции ТП-1 "ДЭС" с. Хаилино с кабельной линией от РУ-0,4кВ ДЭС-26 от ТП-1 с. Хаилино (техприсоединение ФАП)</v>
      </c>
      <c r="C24" s="428"/>
      <c r="D24" s="428"/>
      <c r="E24" s="428" t="str">
        <f>G24</f>
        <v>0,630МВт</v>
      </c>
      <c r="F24" s="428"/>
      <c r="G24" s="428" t="s">
        <v>724</v>
      </c>
      <c r="H24" s="428"/>
      <c r="I24" s="428"/>
      <c r="J24" s="428" t="s">
        <v>724</v>
      </c>
      <c r="K24" s="428"/>
      <c r="L24" s="428" t="str">
        <f>J24</f>
        <v>0,630МВт</v>
      </c>
      <c r="M24" s="428"/>
      <c r="N24" s="428"/>
      <c r="O24" s="428" t="str">
        <f>Q24</f>
        <v>0,400МВт</v>
      </c>
      <c r="P24" s="428"/>
      <c r="Q24" s="428" t="s">
        <v>723</v>
      </c>
      <c r="R24" s="428"/>
      <c r="S24" s="428"/>
      <c r="T24" s="428" t="s">
        <v>723</v>
      </c>
      <c r="U24" s="428"/>
      <c r="V24" s="428" t="str">
        <f>T24</f>
        <v>0,400МВт</v>
      </c>
    </row>
    <row r="25" spans="1:22" ht="15.75">
      <c r="A25" s="428">
        <v>7</v>
      </c>
      <c r="B25" s="429" t="str">
        <f>'7.1'!B28</f>
        <v>Снегоход Arctic Cat с.Ильпырское</v>
      </c>
      <c r="C25" s="428"/>
      <c r="D25" s="428"/>
      <c r="E25" s="428"/>
      <c r="F25" s="428"/>
      <c r="G25" s="428"/>
      <c r="H25" s="428"/>
      <c r="I25" s="428"/>
      <c r="J25" s="428"/>
      <c r="K25" s="428"/>
      <c r="L25" s="428"/>
      <c r="M25" s="428"/>
      <c r="N25" s="428"/>
      <c r="O25" s="428"/>
      <c r="P25" s="428"/>
      <c r="Q25" s="428"/>
      <c r="R25" s="428"/>
      <c r="S25" s="428"/>
      <c r="T25" s="428"/>
      <c r="U25" s="428"/>
      <c r="V25" s="428"/>
    </row>
    <row r="26" spans="1:22" ht="15.75">
      <c r="A26" s="428">
        <v>8</v>
      </c>
      <c r="B26" s="429" t="str">
        <f>'7.1'!B29</f>
        <v>Снегоход Arctic Cat с.Тымлат</v>
      </c>
      <c r="C26" s="428"/>
      <c r="D26" s="428"/>
      <c r="E26" s="428"/>
      <c r="F26" s="428"/>
      <c r="G26" s="428"/>
      <c r="H26" s="428"/>
      <c r="I26" s="428"/>
      <c r="J26" s="428"/>
      <c r="K26" s="428"/>
      <c r="L26" s="428"/>
      <c r="M26" s="428"/>
      <c r="N26" s="428"/>
      <c r="O26" s="428"/>
      <c r="P26" s="428"/>
      <c r="Q26" s="428"/>
      <c r="R26" s="428"/>
      <c r="S26" s="428"/>
      <c r="T26" s="428"/>
      <c r="U26" s="428"/>
      <c r="V26" s="428"/>
    </row>
    <row r="27" spans="1:22" ht="15.75">
      <c r="A27" s="428">
        <v>9</v>
      </c>
      <c r="B27" s="429" t="str">
        <f>'7.1'!B30</f>
        <v>Автомобиль УАЗ-29891 с.Пахачи</v>
      </c>
      <c r="C27" s="428"/>
      <c r="D27" s="428"/>
      <c r="E27" s="428"/>
      <c r="F27" s="428"/>
      <c r="G27" s="428"/>
      <c r="H27" s="428"/>
      <c r="I27" s="428"/>
      <c r="J27" s="428"/>
      <c r="K27" s="428"/>
      <c r="L27" s="428"/>
      <c r="M27" s="428"/>
      <c r="N27" s="428"/>
      <c r="O27" s="428"/>
      <c r="P27" s="428"/>
      <c r="Q27" s="428"/>
      <c r="R27" s="428"/>
      <c r="S27" s="428"/>
      <c r="T27" s="428"/>
      <c r="U27" s="428"/>
      <c r="V27" s="428"/>
    </row>
    <row r="28" spans="1:22" ht="15.75">
      <c r="A28" s="428">
        <v>10</v>
      </c>
      <c r="B28" s="429" t="str">
        <f>'7.1'!B31</f>
        <v>Автомобиль УАЗ-29891 п.Таежный</v>
      </c>
      <c r="C28" s="428"/>
      <c r="D28" s="428"/>
      <c r="E28" s="428"/>
      <c r="F28" s="428"/>
      <c r="G28" s="428"/>
      <c r="H28" s="428"/>
      <c r="I28" s="428"/>
      <c r="J28" s="428"/>
      <c r="K28" s="428"/>
      <c r="L28" s="428"/>
      <c r="M28" s="428"/>
      <c r="N28" s="428"/>
      <c r="O28" s="428"/>
      <c r="P28" s="428"/>
      <c r="Q28" s="428"/>
      <c r="R28" s="428"/>
      <c r="S28" s="428"/>
      <c r="T28" s="428"/>
      <c r="U28" s="428"/>
      <c r="V28" s="428"/>
    </row>
    <row r="29" spans="1:22" ht="31.5">
      <c r="A29" s="428">
        <v>11</v>
      </c>
      <c r="B29" s="429" t="str">
        <f>'7.1'!B32</f>
        <v>Грузовой автомобиль с манипулятором FUSO Canter Аппарат управления</v>
      </c>
      <c r="C29" s="428"/>
      <c r="D29" s="428"/>
      <c r="E29" s="428"/>
      <c r="F29" s="428"/>
      <c r="G29" s="428"/>
      <c r="H29" s="428"/>
      <c r="I29" s="428"/>
      <c r="J29" s="428"/>
      <c r="K29" s="428"/>
      <c r="L29" s="428"/>
      <c r="M29" s="428"/>
      <c r="N29" s="428"/>
      <c r="O29" s="428"/>
      <c r="P29" s="428"/>
      <c r="Q29" s="428"/>
      <c r="R29" s="428"/>
      <c r="S29" s="428"/>
      <c r="T29" s="428"/>
      <c r="U29" s="428"/>
      <c r="V29" s="428"/>
    </row>
    <row r="30" spans="1:22" ht="15.75">
      <c r="A30" s="428">
        <v>12</v>
      </c>
      <c r="B30" s="429" t="str">
        <f>'7.1'!B33</f>
        <v>Автокран КС-45721-17 "Челябинец" с.Усть-Хайрюзово</v>
      </c>
      <c r="C30" s="428"/>
      <c r="D30" s="428"/>
      <c r="E30" s="428"/>
      <c r="F30" s="428"/>
      <c r="G30" s="428"/>
      <c r="H30" s="428"/>
      <c r="I30" s="428"/>
      <c r="J30" s="428"/>
      <c r="K30" s="428"/>
      <c r="L30" s="428"/>
      <c r="M30" s="428"/>
      <c r="N30" s="428"/>
      <c r="O30" s="428"/>
      <c r="P30" s="428"/>
      <c r="Q30" s="428"/>
      <c r="R30" s="428"/>
      <c r="S30" s="428"/>
      <c r="T30" s="428"/>
      <c r="U30" s="428"/>
      <c r="V30" s="428"/>
    </row>
    <row r="31" spans="1:22" ht="15.75">
      <c r="A31" s="428">
        <v>13</v>
      </c>
      <c r="B31" s="429" t="str">
        <f>'7.1'!B34</f>
        <v>Снегоболотоход гусенечный ГАЗ 34039-32 с.Тымлат</v>
      </c>
      <c r="C31" s="428"/>
      <c r="D31" s="428"/>
      <c r="E31" s="428"/>
      <c r="F31" s="428"/>
      <c r="G31" s="428"/>
      <c r="H31" s="428"/>
      <c r="I31" s="428"/>
      <c r="J31" s="428"/>
      <c r="K31" s="428"/>
      <c r="L31" s="428"/>
      <c r="M31" s="428"/>
      <c r="N31" s="428"/>
      <c r="O31" s="428"/>
      <c r="P31" s="428"/>
      <c r="Q31" s="428"/>
      <c r="R31" s="428"/>
      <c r="S31" s="428"/>
      <c r="T31" s="428"/>
      <c r="U31" s="428"/>
      <c r="V31" s="428"/>
    </row>
    <row r="32" spans="1:22" ht="31.5">
      <c r="A32" s="428">
        <v>14</v>
      </c>
      <c r="B32" s="429" t="str">
        <f>'7.1'!B37</f>
        <v>Реконструкция электроснабжения с. Пахачи (Строительство ДЭС в п. Пахачи)</v>
      </c>
      <c r="C32" s="428"/>
      <c r="D32" s="428"/>
      <c r="E32" s="428"/>
      <c r="F32" s="428"/>
      <c r="G32" s="428"/>
      <c r="H32" s="428"/>
      <c r="I32" s="428"/>
      <c r="J32" s="428"/>
      <c r="K32" s="428"/>
      <c r="L32" s="428"/>
      <c r="M32" s="428"/>
      <c r="N32" s="428"/>
      <c r="O32" s="428"/>
      <c r="P32" s="428"/>
      <c r="Q32" s="428"/>
      <c r="R32" s="428"/>
      <c r="S32" s="428"/>
      <c r="T32" s="428"/>
      <c r="U32" s="428"/>
      <c r="V32" s="428"/>
    </row>
    <row r="33" spans="1:22" ht="15.75">
      <c r="A33" s="428">
        <v>15</v>
      </c>
      <c r="B33" s="429" t="str">
        <f>'7.1'!B39</f>
        <v>Строительство склада ГСМ в с. Вывенка</v>
      </c>
      <c r="C33" s="428"/>
      <c r="D33" s="428"/>
      <c r="E33" s="428"/>
      <c r="F33" s="428"/>
      <c r="G33" s="428"/>
      <c r="H33" s="428"/>
      <c r="I33" s="428"/>
      <c r="J33" s="428"/>
      <c r="K33" s="428"/>
      <c r="L33" s="428"/>
      <c r="M33" s="428"/>
      <c r="N33" s="428"/>
      <c r="O33" s="428" t="str">
        <f>Q33</f>
        <v>нет</v>
      </c>
      <c r="P33" s="428"/>
      <c r="Q33" s="428" t="s">
        <v>561</v>
      </c>
      <c r="R33" s="428"/>
      <c r="S33" s="428"/>
      <c r="T33" s="428"/>
      <c r="U33" s="428"/>
      <c r="V33" s="428"/>
    </row>
    <row r="34" spans="1:22" ht="31.5">
      <c r="A34" s="428">
        <v>16</v>
      </c>
      <c r="B34" s="429" t="str">
        <f>'7.1'!B40</f>
        <v>Строительство склада ГСМ в с. Тиличики 2000м3 (одна емкость 2000м3) с трубопроводом и насосной станцией</v>
      </c>
      <c r="C34" s="428"/>
      <c r="D34" s="428"/>
      <c r="E34" s="428"/>
      <c r="F34" s="428"/>
      <c r="G34" s="428"/>
      <c r="H34" s="428"/>
      <c r="I34" s="428"/>
      <c r="J34" s="428"/>
      <c r="K34" s="428"/>
      <c r="L34" s="428"/>
      <c r="M34" s="428"/>
      <c r="N34" s="428"/>
      <c r="O34" s="428" t="str">
        <f>Q34</f>
        <v>нет</v>
      </c>
      <c r="P34" s="428"/>
      <c r="Q34" s="428" t="s">
        <v>561</v>
      </c>
      <c r="R34" s="428"/>
      <c r="S34" s="428"/>
      <c r="T34" s="428"/>
      <c r="U34" s="428"/>
      <c r="V34" s="428"/>
    </row>
    <row r="35" spans="1:22" ht="31.5">
      <c r="A35" s="428">
        <v>17</v>
      </c>
      <c r="B35" s="429" t="str">
        <f>'7.1'!B41</f>
        <v>Строительство склада ГСМ в с.Средние Пахачи 500 м3 (две емкости 200м3 и 300м3)</v>
      </c>
      <c r="C35" s="428"/>
      <c r="D35" s="428"/>
      <c r="E35" s="428"/>
      <c r="F35" s="428"/>
      <c r="G35" s="428"/>
      <c r="H35" s="428"/>
      <c r="I35" s="428"/>
      <c r="J35" s="428"/>
      <c r="K35" s="428"/>
      <c r="L35" s="428"/>
      <c r="M35" s="428"/>
      <c r="N35" s="428"/>
      <c r="O35" s="428"/>
      <c r="P35" s="428"/>
      <c r="Q35" s="428"/>
      <c r="R35" s="428"/>
      <c r="S35" s="428"/>
      <c r="T35" s="428"/>
      <c r="U35" s="428"/>
      <c r="V35" s="428"/>
    </row>
    <row r="36" spans="1:22" ht="15.75">
      <c r="A36" s="428">
        <v>18</v>
      </c>
      <c r="B36" s="429" t="str">
        <f>'7.1'!B42</f>
        <v>Строительство склада ГСМ в с. Ковран****</v>
      </c>
      <c r="C36" s="428"/>
      <c r="D36" s="428"/>
      <c r="E36" s="428"/>
      <c r="F36" s="428"/>
      <c r="G36" s="428"/>
      <c r="H36" s="428"/>
      <c r="I36" s="428"/>
      <c r="J36" s="428"/>
      <c r="K36" s="428"/>
      <c r="L36" s="428"/>
      <c r="M36" s="428"/>
      <c r="N36" s="428"/>
      <c r="O36" s="428"/>
      <c r="P36" s="428"/>
      <c r="Q36" s="428"/>
      <c r="R36" s="428"/>
      <c r="S36" s="428"/>
      <c r="T36" s="428"/>
      <c r="U36" s="428"/>
      <c r="V36" s="428"/>
    </row>
    <row r="37" spans="1:22" ht="15.75">
      <c r="A37" s="813"/>
      <c r="B37" s="814"/>
      <c r="C37" s="813"/>
      <c r="D37" s="813"/>
      <c r="E37" s="813"/>
      <c r="F37" s="813"/>
      <c r="G37" s="813"/>
      <c r="H37" s="813"/>
      <c r="I37" s="813"/>
      <c r="J37" s="813"/>
      <c r="K37" s="813"/>
      <c r="L37" s="813"/>
      <c r="M37" s="813"/>
      <c r="N37" s="813"/>
      <c r="O37" s="813"/>
      <c r="P37" s="813"/>
      <c r="Q37" s="813"/>
      <c r="R37" s="813"/>
      <c r="S37" s="813"/>
      <c r="T37" s="813"/>
      <c r="U37" s="813"/>
      <c r="V37" s="813"/>
    </row>
    <row r="38" ht="15.75">
      <c r="B38" s="108" t="s">
        <v>342</v>
      </c>
    </row>
    <row r="40" spans="3:19" ht="15.75">
      <c r="C40" s="998" t="s">
        <v>720</v>
      </c>
      <c r="D40" s="998"/>
      <c r="E40" s="998"/>
      <c r="F40" s="998"/>
      <c r="G40" s="998"/>
      <c r="H40" s="998"/>
      <c r="I40" s="998"/>
      <c r="J40" s="998"/>
      <c r="K40" s="998"/>
      <c r="L40" s="998"/>
      <c r="M40" s="998"/>
      <c r="N40" s="998"/>
      <c r="O40" s="998"/>
      <c r="P40" s="998"/>
      <c r="Q40" s="998"/>
      <c r="R40" s="998"/>
      <c r="S40" s="998"/>
    </row>
    <row r="41" spans="13:16" ht="15.75">
      <c r="M41" s="315"/>
      <c r="N41" s="999"/>
      <c r="O41" s="999"/>
      <c r="P41" s="315"/>
    </row>
    <row r="42" spans="13:16" ht="15.75">
      <c r="M42" s="315"/>
      <c r="N42" s="315"/>
      <c r="O42" s="315"/>
      <c r="P42" s="315"/>
    </row>
    <row r="43" spans="1:22" ht="15.75">
      <c r="A43" s="336"/>
      <c r="C43" s="447"/>
      <c r="D43" s="447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7"/>
      <c r="U43" s="447"/>
      <c r="V43" s="447"/>
    </row>
    <row r="44" spans="1:22" ht="15.75">
      <c r="A44" s="427" t="b">
        <v>1</v>
      </c>
      <c r="B44" s="427" t="b">
        <v>1</v>
      </c>
      <c r="C44" s="427" t="b">
        <v>1</v>
      </c>
      <c r="D44" s="427" t="b">
        <v>1</v>
      </c>
      <c r="E44" s="427" t="b">
        <v>1</v>
      </c>
      <c r="F44" s="427" t="b">
        <v>1</v>
      </c>
      <c r="G44" s="427" t="b">
        <v>1</v>
      </c>
      <c r="H44" s="427" t="b">
        <v>1</v>
      </c>
      <c r="I44" s="427" t="b">
        <v>1</v>
      </c>
      <c r="J44" s="427" t="b">
        <v>1</v>
      </c>
      <c r="K44" s="427" t="b">
        <v>1</v>
      </c>
      <c r="L44" s="427" t="b">
        <v>1</v>
      </c>
      <c r="M44" s="427" t="b">
        <v>1</v>
      </c>
      <c r="N44" s="427" t="b">
        <v>1</v>
      </c>
      <c r="O44" s="427" t="b">
        <v>1</v>
      </c>
      <c r="P44" s="427" t="b">
        <v>1</v>
      </c>
      <c r="Q44" s="427" t="b">
        <v>1</v>
      </c>
      <c r="R44" s="427" t="b">
        <v>1</v>
      </c>
      <c r="S44" s="427" t="b">
        <v>1</v>
      </c>
      <c r="T44" s="427" t="b">
        <v>1</v>
      </c>
      <c r="U44" s="427" t="b">
        <v>1</v>
      </c>
      <c r="V44" s="427" t="b">
        <v>1</v>
      </c>
    </row>
    <row r="45" spans="1:22" ht="15.75">
      <c r="A45" s="427" t="b">
        <v>1</v>
      </c>
      <c r="B45" s="427" t="b">
        <v>1</v>
      </c>
      <c r="C45" s="427" t="b">
        <v>1</v>
      </c>
      <c r="D45" s="427" t="b">
        <v>1</v>
      </c>
      <c r="E45" s="427" t="b">
        <v>1</v>
      </c>
      <c r="F45" s="427" t="b">
        <v>1</v>
      </c>
      <c r="G45" s="427" t="b">
        <v>1</v>
      </c>
      <c r="H45" s="427" t="b">
        <v>1</v>
      </c>
      <c r="I45" s="427" t="b">
        <v>1</v>
      </c>
      <c r="J45" s="427" t="b">
        <v>1</v>
      </c>
      <c r="K45" s="427" t="b">
        <v>1</v>
      </c>
      <c r="L45" s="427" t="b">
        <v>1</v>
      </c>
      <c r="M45" s="427" t="b">
        <v>1</v>
      </c>
      <c r="N45" s="427" t="b">
        <v>1</v>
      </c>
      <c r="O45" s="427" t="b">
        <v>1</v>
      </c>
      <c r="P45" s="427" t="b">
        <v>1</v>
      </c>
      <c r="Q45" s="427" t="b">
        <v>1</v>
      </c>
      <c r="R45" s="427" t="b">
        <v>1</v>
      </c>
      <c r="S45" s="427" t="b">
        <v>1</v>
      </c>
      <c r="T45" s="427" t="b">
        <v>1</v>
      </c>
      <c r="U45" s="427" t="b">
        <v>1</v>
      </c>
      <c r="V45" s="427" t="b">
        <v>1</v>
      </c>
    </row>
    <row r="46" spans="1:22" ht="15.75">
      <c r="A46" s="427" t="b">
        <v>1</v>
      </c>
      <c r="B46" s="427" t="b">
        <v>1</v>
      </c>
      <c r="C46" s="427" t="b">
        <v>1</v>
      </c>
      <c r="D46" s="427" t="b">
        <v>1</v>
      </c>
      <c r="E46" s="427" t="b">
        <v>1</v>
      </c>
      <c r="F46" s="427" t="b">
        <v>1</v>
      </c>
      <c r="G46" s="427" t="b">
        <v>1</v>
      </c>
      <c r="H46" s="427" t="b">
        <v>1</v>
      </c>
      <c r="I46" s="427" t="b">
        <v>1</v>
      </c>
      <c r="J46" s="427" t="b">
        <v>1</v>
      </c>
      <c r="K46" s="427" t="b">
        <v>1</v>
      </c>
      <c r="L46" s="427" t="b">
        <v>1</v>
      </c>
      <c r="M46" s="427" t="b">
        <v>1</v>
      </c>
      <c r="N46" s="427" t="b">
        <v>1</v>
      </c>
      <c r="O46" s="427" t="b">
        <v>1</v>
      </c>
      <c r="P46" s="427" t="b">
        <v>1</v>
      </c>
      <c r="Q46" s="427" t="b">
        <v>1</v>
      </c>
      <c r="R46" s="427" t="b">
        <v>1</v>
      </c>
      <c r="S46" s="427" t="b">
        <v>1</v>
      </c>
      <c r="T46" s="427" t="b">
        <v>1</v>
      </c>
      <c r="U46" s="427" t="b">
        <v>1</v>
      </c>
      <c r="V46" s="427" t="b">
        <v>1</v>
      </c>
    </row>
    <row r="47" spans="1:22" ht="15.75">
      <c r="A47" s="427" t="b">
        <v>1</v>
      </c>
      <c r="B47" s="427" t="b">
        <v>1</v>
      </c>
      <c r="C47" s="427" t="b">
        <v>1</v>
      </c>
      <c r="D47" s="427" t="b">
        <v>1</v>
      </c>
      <c r="E47" s="427" t="b">
        <v>1</v>
      </c>
      <c r="F47" s="427" t="b">
        <v>1</v>
      </c>
      <c r="G47" s="427" t="b">
        <v>1</v>
      </c>
      <c r="H47" s="427" t="b">
        <v>1</v>
      </c>
      <c r="I47" s="427" t="b">
        <v>1</v>
      </c>
      <c r="J47" s="427" t="b">
        <v>1</v>
      </c>
      <c r="K47" s="427" t="b">
        <v>1</v>
      </c>
      <c r="L47" s="427" t="b">
        <v>1</v>
      </c>
      <c r="M47" s="427" t="b">
        <v>1</v>
      </c>
      <c r="N47" s="427" t="b">
        <v>1</v>
      </c>
      <c r="O47" s="427" t="b">
        <v>1</v>
      </c>
      <c r="P47" s="427" t="b">
        <v>1</v>
      </c>
      <c r="Q47" s="427" t="b">
        <v>1</v>
      </c>
      <c r="R47" s="427" t="b">
        <v>1</v>
      </c>
      <c r="S47" s="427" t="b">
        <v>1</v>
      </c>
      <c r="T47" s="427" t="b">
        <v>1</v>
      </c>
      <c r="U47" s="427" t="b">
        <v>1</v>
      </c>
      <c r="V47" s="427" t="b">
        <v>1</v>
      </c>
    </row>
    <row r="48" spans="1:22" ht="15.75">
      <c r="A48" s="427" t="b">
        <v>1</v>
      </c>
      <c r="B48" s="427" t="b">
        <v>1</v>
      </c>
      <c r="C48" s="427" t="b">
        <v>1</v>
      </c>
      <c r="D48" s="427" t="b">
        <v>1</v>
      </c>
      <c r="E48" s="427" t="b">
        <v>1</v>
      </c>
      <c r="F48" s="427" t="b">
        <v>1</v>
      </c>
      <c r="G48" s="427" t="b">
        <v>1</v>
      </c>
      <c r="H48" s="427" t="b">
        <v>1</v>
      </c>
      <c r="I48" s="427" t="b">
        <v>1</v>
      </c>
      <c r="J48" s="427" t="b">
        <v>1</v>
      </c>
      <c r="K48" s="427" t="b">
        <v>1</v>
      </c>
      <c r="L48" s="427" t="b">
        <v>1</v>
      </c>
      <c r="M48" s="427" t="b">
        <v>1</v>
      </c>
      <c r="N48" s="427" t="b">
        <v>1</v>
      </c>
      <c r="O48" s="427" t="b">
        <v>1</v>
      </c>
      <c r="P48" s="427" t="b">
        <v>1</v>
      </c>
      <c r="Q48" s="427" t="b">
        <v>1</v>
      </c>
      <c r="R48" s="427" t="b">
        <v>1</v>
      </c>
      <c r="S48" s="427" t="b">
        <v>1</v>
      </c>
      <c r="T48" s="427" t="b">
        <v>1</v>
      </c>
      <c r="U48" s="427" t="b">
        <v>1</v>
      </c>
      <c r="V48" s="427" t="b">
        <v>1</v>
      </c>
    </row>
    <row r="49" spans="1:22" ht="15.75">
      <c r="A49" s="427" t="b">
        <v>1</v>
      </c>
      <c r="B49" s="427" t="b">
        <v>1</v>
      </c>
      <c r="C49" s="427" t="b">
        <v>1</v>
      </c>
      <c r="D49" s="427" t="b">
        <v>1</v>
      </c>
      <c r="E49" s="427" t="b">
        <v>1</v>
      </c>
      <c r="F49" s="427" t="b">
        <v>1</v>
      </c>
      <c r="G49" s="427" t="b">
        <v>1</v>
      </c>
      <c r="H49" s="427" t="b">
        <v>1</v>
      </c>
      <c r="I49" s="427" t="b">
        <v>1</v>
      </c>
      <c r="J49" s="427" t="b">
        <v>1</v>
      </c>
      <c r="K49" s="427" t="b">
        <v>1</v>
      </c>
      <c r="L49" s="427" t="b">
        <v>1</v>
      </c>
      <c r="M49" s="427" t="b">
        <v>1</v>
      </c>
      <c r="N49" s="427" t="b">
        <v>1</v>
      </c>
      <c r="O49" s="427" t="b">
        <v>1</v>
      </c>
      <c r="P49" s="427" t="b">
        <v>1</v>
      </c>
      <c r="Q49" s="427" t="b">
        <v>1</v>
      </c>
      <c r="R49" s="427" t="b">
        <v>1</v>
      </c>
      <c r="S49" s="427" t="b">
        <v>1</v>
      </c>
      <c r="T49" s="427" t="b">
        <v>1</v>
      </c>
      <c r="U49" s="427" t="b">
        <v>1</v>
      </c>
      <c r="V49" s="427" t="b">
        <v>1</v>
      </c>
    </row>
    <row r="50" spans="1:22" ht="15.75">
      <c r="A50" s="427" t="b">
        <v>1</v>
      </c>
      <c r="B50" s="427" t="b">
        <v>1</v>
      </c>
      <c r="C50" s="427" t="b">
        <v>1</v>
      </c>
      <c r="D50" s="427" t="b">
        <v>1</v>
      </c>
      <c r="E50" s="427" t="b">
        <v>1</v>
      </c>
      <c r="F50" s="427" t="b">
        <v>1</v>
      </c>
      <c r="G50" s="427" t="b">
        <v>1</v>
      </c>
      <c r="H50" s="427" t="b">
        <v>1</v>
      </c>
      <c r="I50" s="427" t="b">
        <v>1</v>
      </c>
      <c r="J50" s="427" t="b">
        <v>1</v>
      </c>
      <c r="K50" s="427" t="b">
        <v>1</v>
      </c>
      <c r="L50" s="427" t="b">
        <v>1</v>
      </c>
      <c r="M50" s="427" t="b">
        <v>1</v>
      </c>
      <c r="N50" s="427" t="b">
        <v>1</v>
      </c>
      <c r="O50" s="427" t="b">
        <v>1</v>
      </c>
      <c r="P50" s="427" t="b">
        <v>1</v>
      </c>
      <c r="Q50" s="427" t="b">
        <v>1</v>
      </c>
      <c r="R50" s="427" t="b">
        <v>1</v>
      </c>
      <c r="S50" s="427" t="b">
        <v>1</v>
      </c>
      <c r="T50" s="427" t="b">
        <v>1</v>
      </c>
      <c r="U50" s="427" t="b">
        <v>1</v>
      </c>
      <c r="V50" s="427" t="b">
        <v>1</v>
      </c>
    </row>
    <row r="51" spans="1:22" ht="15.75">
      <c r="A51" s="427" t="b">
        <v>1</v>
      </c>
      <c r="B51" s="427" t="b">
        <v>1</v>
      </c>
      <c r="C51" s="427" t="b">
        <v>1</v>
      </c>
      <c r="D51" s="427" t="b">
        <v>1</v>
      </c>
      <c r="E51" s="427" t="b">
        <v>1</v>
      </c>
      <c r="F51" s="427" t="b">
        <v>1</v>
      </c>
      <c r="G51" s="427" t="b">
        <v>1</v>
      </c>
      <c r="H51" s="427" t="b">
        <v>1</v>
      </c>
      <c r="I51" s="427" t="b">
        <v>1</v>
      </c>
      <c r="J51" s="427" t="b">
        <v>1</v>
      </c>
      <c r="K51" s="427" t="b">
        <v>1</v>
      </c>
      <c r="L51" s="427" t="b">
        <v>1</v>
      </c>
      <c r="M51" s="427" t="b">
        <v>1</v>
      </c>
      <c r="N51" s="427" t="b">
        <v>1</v>
      </c>
      <c r="O51" s="427" t="b">
        <v>1</v>
      </c>
      <c r="P51" s="427" t="b">
        <v>1</v>
      </c>
      <c r="Q51" s="427" t="b">
        <v>1</v>
      </c>
      <c r="R51" s="427" t="b">
        <v>1</v>
      </c>
      <c r="S51" s="427" t="b">
        <v>1</v>
      </c>
      <c r="T51" s="427" t="b">
        <v>1</v>
      </c>
      <c r="U51" s="427" t="b">
        <v>1</v>
      </c>
      <c r="V51" s="427" t="b">
        <v>1</v>
      </c>
    </row>
    <row r="52" spans="1:22" ht="15.75">
      <c r="A52" s="427" t="b">
        <v>1</v>
      </c>
      <c r="B52" s="427" t="b">
        <v>1</v>
      </c>
      <c r="C52" s="427" t="b">
        <v>1</v>
      </c>
      <c r="D52" s="427" t="b">
        <v>1</v>
      </c>
      <c r="E52" s="427" t="b">
        <v>1</v>
      </c>
      <c r="F52" s="427" t="b">
        <v>1</v>
      </c>
      <c r="G52" s="427" t="b">
        <v>1</v>
      </c>
      <c r="H52" s="427" t="b">
        <v>1</v>
      </c>
      <c r="I52" s="427" t="b">
        <v>1</v>
      </c>
      <c r="J52" s="427" t="b">
        <v>1</v>
      </c>
      <c r="K52" s="427" t="b">
        <v>1</v>
      </c>
      <c r="L52" s="427" t="b">
        <v>1</v>
      </c>
      <c r="M52" s="427" t="b">
        <v>1</v>
      </c>
      <c r="N52" s="427" t="b">
        <v>1</v>
      </c>
      <c r="O52" s="427" t="b">
        <v>1</v>
      </c>
      <c r="P52" s="427" t="b">
        <v>1</v>
      </c>
      <c r="Q52" s="427" t="b">
        <v>1</v>
      </c>
      <c r="R52" s="427" t="b">
        <v>1</v>
      </c>
      <c r="S52" s="427" t="b">
        <v>1</v>
      </c>
      <c r="T52" s="427" t="b">
        <v>1</v>
      </c>
      <c r="U52" s="427" t="b">
        <v>1</v>
      </c>
      <c r="V52" s="427" t="b">
        <v>1</v>
      </c>
    </row>
    <row r="53" spans="1:22" ht="15.75">
      <c r="A53" s="427" t="b">
        <v>1</v>
      </c>
      <c r="B53" s="427" t="b">
        <v>1</v>
      </c>
      <c r="C53" s="427" t="b">
        <v>1</v>
      </c>
      <c r="D53" s="427" t="b">
        <v>1</v>
      </c>
      <c r="E53" s="427" t="b">
        <v>1</v>
      </c>
      <c r="F53" s="427" t="b">
        <v>1</v>
      </c>
      <c r="G53" s="427" t="b">
        <v>1</v>
      </c>
      <c r="H53" s="427" t="b">
        <v>1</v>
      </c>
      <c r="I53" s="427" t="b">
        <v>1</v>
      </c>
      <c r="J53" s="427" t="b">
        <v>1</v>
      </c>
      <c r="K53" s="427" t="b">
        <v>1</v>
      </c>
      <c r="L53" s="427" t="b">
        <v>1</v>
      </c>
      <c r="M53" s="427" t="b">
        <v>1</v>
      </c>
      <c r="N53" s="427" t="b">
        <v>1</v>
      </c>
      <c r="O53" s="427" t="b">
        <v>1</v>
      </c>
      <c r="P53" s="427" t="b">
        <v>1</v>
      </c>
      <c r="Q53" s="427" t="b">
        <v>1</v>
      </c>
      <c r="R53" s="427" t="b">
        <v>1</v>
      </c>
      <c r="S53" s="427" t="b">
        <v>1</v>
      </c>
      <c r="T53" s="427" t="b">
        <v>1</v>
      </c>
      <c r="U53" s="427" t="b">
        <v>1</v>
      </c>
      <c r="V53" s="427" t="b">
        <v>1</v>
      </c>
    </row>
    <row r="54" spans="1:22" ht="15.75">
      <c r="A54" s="427" t="b">
        <v>1</v>
      </c>
      <c r="B54" s="427" t="b">
        <v>1</v>
      </c>
      <c r="C54" s="427" t="b">
        <v>1</v>
      </c>
      <c r="D54" s="427" t="b">
        <v>1</v>
      </c>
      <c r="E54" s="427" t="b">
        <v>1</v>
      </c>
      <c r="F54" s="427" t="b">
        <v>1</v>
      </c>
      <c r="G54" s="427" t="b">
        <v>1</v>
      </c>
      <c r="H54" s="427" t="b">
        <v>1</v>
      </c>
      <c r="I54" s="427" t="b">
        <v>1</v>
      </c>
      <c r="J54" s="427" t="b">
        <v>1</v>
      </c>
      <c r="K54" s="427" t="b">
        <v>1</v>
      </c>
      <c r="L54" s="427" t="b">
        <v>1</v>
      </c>
      <c r="M54" s="427" t="b">
        <v>1</v>
      </c>
      <c r="N54" s="427" t="b">
        <v>1</v>
      </c>
      <c r="O54" s="427" t="b">
        <v>1</v>
      </c>
      <c r="P54" s="427" t="b">
        <v>1</v>
      </c>
      <c r="Q54" s="427" t="b">
        <v>1</v>
      </c>
      <c r="R54" s="427" t="b">
        <v>1</v>
      </c>
      <c r="S54" s="427" t="b">
        <v>1</v>
      </c>
      <c r="T54" s="427" t="b">
        <v>1</v>
      </c>
      <c r="U54" s="427" t="b">
        <v>1</v>
      </c>
      <c r="V54" s="427" t="b">
        <v>1</v>
      </c>
    </row>
    <row r="55" spans="1:22" ht="15.75">
      <c r="A55" s="427" t="b">
        <v>1</v>
      </c>
      <c r="B55" s="427" t="b">
        <v>1</v>
      </c>
      <c r="C55" s="427" t="b">
        <v>1</v>
      </c>
      <c r="D55" s="427" t="b">
        <v>1</v>
      </c>
      <c r="E55" s="427" t="b">
        <v>1</v>
      </c>
      <c r="F55" s="427" t="b">
        <v>1</v>
      </c>
      <c r="G55" s="427" t="b">
        <v>1</v>
      </c>
      <c r="H55" s="427" t="b">
        <v>1</v>
      </c>
      <c r="I55" s="427" t="b">
        <v>1</v>
      </c>
      <c r="J55" s="427" t="b">
        <v>1</v>
      </c>
      <c r="K55" s="427" t="b">
        <v>1</v>
      </c>
      <c r="L55" s="427" t="b">
        <v>1</v>
      </c>
      <c r="M55" s="427" t="b">
        <v>1</v>
      </c>
      <c r="N55" s="427" t="b">
        <v>1</v>
      </c>
      <c r="O55" s="427" t="b">
        <v>1</v>
      </c>
      <c r="P55" s="427" t="b">
        <v>1</v>
      </c>
      <c r="Q55" s="427" t="b">
        <v>1</v>
      </c>
      <c r="R55" s="427" t="b">
        <v>1</v>
      </c>
      <c r="S55" s="427" t="b">
        <v>1</v>
      </c>
      <c r="T55" s="427" t="b">
        <v>1</v>
      </c>
      <c r="U55" s="427" t="b">
        <v>1</v>
      </c>
      <c r="V55" s="427" t="b">
        <v>1</v>
      </c>
    </row>
    <row r="56" spans="1:22" ht="15.75">
      <c r="A56" s="427" t="b">
        <v>1</v>
      </c>
      <c r="B56" s="427" t="b">
        <v>1</v>
      </c>
      <c r="C56" s="427" t="b">
        <v>1</v>
      </c>
      <c r="D56" s="427" t="b">
        <v>1</v>
      </c>
      <c r="E56" s="427" t="b">
        <v>1</v>
      </c>
      <c r="F56" s="427" t="b">
        <v>1</v>
      </c>
      <c r="G56" s="427" t="b">
        <v>1</v>
      </c>
      <c r="H56" s="427" t="b">
        <v>1</v>
      </c>
      <c r="I56" s="427" t="b">
        <v>1</v>
      </c>
      <c r="J56" s="427" t="b">
        <v>1</v>
      </c>
      <c r="K56" s="427" t="b">
        <v>1</v>
      </c>
      <c r="L56" s="427" t="b">
        <v>1</v>
      </c>
      <c r="M56" s="427" t="b">
        <v>1</v>
      </c>
      <c r="N56" s="427" t="b">
        <v>1</v>
      </c>
      <c r="O56" s="427" t="b">
        <v>1</v>
      </c>
      <c r="P56" s="427" t="b">
        <v>1</v>
      </c>
      <c r="Q56" s="427" t="b">
        <v>1</v>
      </c>
      <c r="R56" s="427" t="b">
        <v>1</v>
      </c>
      <c r="S56" s="427" t="b">
        <v>1</v>
      </c>
      <c r="T56" s="427" t="b">
        <v>1</v>
      </c>
      <c r="U56" s="427" t="b">
        <v>1</v>
      </c>
      <c r="V56" s="427" t="b">
        <v>1</v>
      </c>
    </row>
    <row r="57" spans="1:22" ht="15.75">
      <c r="A57" s="427" t="b">
        <v>1</v>
      </c>
      <c r="B57" s="427" t="b">
        <v>1</v>
      </c>
      <c r="C57" s="427" t="b">
        <v>1</v>
      </c>
      <c r="D57" s="427" t="b">
        <v>1</v>
      </c>
      <c r="E57" s="427" t="b">
        <v>1</v>
      </c>
      <c r="F57" s="427" t="b">
        <v>1</v>
      </c>
      <c r="G57" s="427" t="b">
        <v>1</v>
      </c>
      <c r="H57" s="427" t="b">
        <v>1</v>
      </c>
      <c r="I57" s="427" t="b">
        <v>1</v>
      </c>
      <c r="J57" s="427" t="b">
        <v>1</v>
      </c>
      <c r="K57" s="427" t="b">
        <v>1</v>
      </c>
      <c r="L57" s="427" t="b">
        <v>1</v>
      </c>
      <c r="M57" s="427" t="b">
        <v>1</v>
      </c>
      <c r="N57" s="427" t="b">
        <v>1</v>
      </c>
      <c r="O57" s="427" t="b">
        <v>1</v>
      </c>
      <c r="P57" s="427" t="b">
        <v>1</v>
      </c>
      <c r="Q57" s="427" t="b">
        <v>1</v>
      </c>
      <c r="R57" s="427" t="b">
        <v>1</v>
      </c>
      <c r="S57" s="427" t="b">
        <v>1</v>
      </c>
      <c r="T57" s="427" t="b">
        <v>1</v>
      </c>
      <c r="U57" s="427" t="b">
        <v>1</v>
      </c>
      <c r="V57" s="427" t="b">
        <v>1</v>
      </c>
    </row>
    <row r="58" spans="1:22" ht="15.75">
      <c r="A58" s="427" t="b">
        <v>1</v>
      </c>
      <c r="B58" s="427" t="b">
        <v>1</v>
      </c>
      <c r="C58" s="427" t="b">
        <v>1</v>
      </c>
      <c r="D58" s="427" t="b">
        <v>1</v>
      </c>
      <c r="E58" s="427" t="b">
        <v>1</v>
      </c>
      <c r="F58" s="427" t="b">
        <v>1</v>
      </c>
      <c r="G58" s="427" t="b">
        <v>1</v>
      </c>
      <c r="H58" s="427" t="b">
        <v>1</v>
      </c>
      <c r="I58" s="427" t="b">
        <v>1</v>
      </c>
      <c r="J58" s="427" t="b">
        <v>1</v>
      </c>
      <c r="K58" s="427" t="b">
        <v>1</v>
      </c>
      <c r="L58" s="427" t="b">
        <v>1</v>
      </c>
      <c r="M58" s="427" t="b">
        <v>1</v>
      </c>
      <c r="N58" s="427" t="b">
        <v>1</v>
      </c>
      <c r="O58" s="427" t="b">
        <v>1</v>
      </c>
      <c r="P58" s="427" t="b">
        <v>1</v>
      </c>
      <c r="Q58" s="427" t="b">
        <v>1</v>
      </c>
      <c r="R58" s="427" t="b">
        <v>1</v>
      </c>
      <c r="S58" s="427" t="b">
        <v>1</v>
      </c>
      <c r="T58" s="427" t="b">
        <v>1</v>
      </c>
      <c r="U58" s="427" t="b">
        <v>1</v>
      </c>
      <c r="V58" s="427" t="b">
        <v>1</v>
      </c>
    </row>
    <row r="59" spans="1:22" ht="15.75">
      <c r="A59" s="427" t="b">
        <v>1</v>
      </c>
      <c r="B59" s="427" t="b">
        <v>1</v>
      </c>
      <c r="C59" s="427" t="b">
        <v>1</v>
      </c>
      <c r="D59" s="427" t="b">
        <v>1</v>
      </c>
      <c r="E59" s="427" t="b">
        <v>1</v>
      </c>
      <c r="F59" s="427" t="b">
        <v>1</v>
      </c>
      <c r="G59" s="427" t="b">
        <v>1</v>
      </c>
      <c r="H59" s="427" t="b">
        <v>1</v>
      </c>
      <c r="I59" s="427" t="b">
        <v>1</v>
      </c>
      <c r="J59" s="427" t="b">
        <v>1</v>
      </c>
      <c r="K59" s="427" t="b">
        <v>1</v>
      </c>
      <c r="L59" s="427" t="b">
        <v>1</v>
      </c>
      <c r="M59" s="427" t="b">
        <v>1</v>
      </c>
      <c r="N59" s="427" t="b">
        <v>1</v>
      </c>
      <c r="O59" s="427" t="b">
        <v>1</v>
      </c>
      <c r="P59" s="427" t="b">
        <v>1</v>
      </c>
      <c r="Q59" s="427" t="b">
        <v>1</v>
      </c>
      <c r="R59" s="427" t="b">
        <v>1</v>
      </c>
      <c r="S59" s="427" t="b">
        <v>1</v>
      </c>
      <c r="T59" s="427" t="b">
        <v>1</v>
      </c>
      <c r="U59" s="427" t="b">
        <v>1</v>
      </c>
      <c r="V59" s="427" t="b">
        <v>1</v>
      </c>
    </row>
    <row r="60" spans="1:22" ht="15.75">
      <c r="A60" s="427" t="b">
        <v>1</v>
      </c>
      <c r="B60" s="427" t="b">
        <v>1</v>
      </c>
      <c r="C60" s="427" t="b">
        <v>1</v>
      </c>
      <c r="D60" s="427" t="b">
        <v>1</v>
      </c>
      <c r="E60" s="427" t="b">
        <v>1</v>
      </c>
      <c r="F60" s="427" t="b">
        <v>1</v>
      </c>
      <c r="G60" s="427" t="b">
        <v>1</v>
      </c>
      <c r="H60" s="427" t="b">
        <v>1</v>
      </c>
      <c r="I60" s="427" t="b">
        <v>1</v>
      </c>
      <c r="J60" s="427" t="b">
        <v>1</v>
      </c>
      <c r="K60" s="427" t="b">
        <v>1</v>
      </c>
      <c r="L60" s="427" t="b">
        <v>1</v>
      </c>
      <c r="M60" s="427" t="b">
        <v>1</v>
      </c>
      <c r="N60" s="427" t="b">
        <v>1</v>
      </c>
      <c r="O60" s="427" t="b">
        <v>1</v>
      </c>
      <c r="P60" s="427" t="b">
        <v>1</v>
      </c>
      <c r="Q60" s="427" t="b">
        <v>1</v>
      </c>
      <c r="R60" s="427" t="b">
        <v>1</v>
      </c>
      <c r="S60" s="427" t="b">
        <v>1</v>
      </c>
      <c r="T60" s="427" t="b">
        <v>1</v>
      </c>
      <c r="U60" s="427" t="b">
        <v>1</v>
      </c>
      <c r="V60" s="427" t="b">
        <v>1</v>
      </c>
    </row>
    <row r="61" spans="1:22" ht="15.75">
      <c r="A61" s="427" t="b">
        <v>1</v>
      </c>
      <c r="B61" s="427" t="b">
        <v>1</v>
      </c>
      <c r="C61" s="427" t="b">
        <v>1</v>
      </c>
      <c r="D61" s="427" t="b">
        <v>1</v>
      </c>
      <c r="E61" s="427" t="b">
        <v>1</v>
      </c>
      <c r="F61" s="427" t="b">
        <v>1</v>
      </c>
      <c r="G61" s="427" t="b">
        <v>1</v>
      </c>
      <c r="H61" s="427" t="b">
        <v>1</v>
      </c>
      <c r="I61" s="427" t="b">
        <v>1</v>
      </c>
      <c r="J61" s="427" t="b">
        <v>1</v>
      </c>
      <c r="K61" s="427" t="b">
        <v>1</v>
      </c>
      <c r="L61" s="427" t="b">
        <v>1</v>
      </c>
      <c r="M61" s="427" t="b">
        <v>1</v>
      </c>
      <c r="N61" s="427" t="b">
        <v>1</v>
      </c>
      <c r="O61" s="427" t="b">
        <v>1</v>
      </c>
      <c r="P61" s="427" t="b">
        <v>1</v>
      </c>
      <c r="Q61" s="427" t="b">
        <v>1</v>
      </c>
      <c r="R61" s="427" t="b">
        <v>1</v>
      </c>
      <c r="S61" s="427" t="b">
        <v>1</v>
      </c>
      <c r="T61" s="427" t="b">
        <v>1</v>
      </c>
      <c r="U61" s="427" t="b">
        <v>1</v>
      </c>
      <c r="V61" s="427" t="b">
        <v>1</v>
      </c>
    </row>
    <row r="62" spans="1:22" ht="15.75">
      <c r="A62" s="427"/>
      <c r="B62" s="427"/>
      <c r="C62" s="427"/>
      <c r="D62" s="427"/>
      <c r="E62" s="427"/>
      <c r="F62" s="427"/>
      <c r="G62" s="427"/>
      <c r="H62" s="427"/>
      <c r="I62" s="427"/>
      <c r="J62" s="427"/>
      <c r="K62" s="427"/>
      <c r="L62" s="427"/>
      <c r="M62" s="427"/>
      <c r="N62" s="427"/>
      <c r="O62" s="427"/>
      <c r="P62" s="427"/>
      <c r="Q62" s="427"/>
      <c r="R62" s="427"/>
      <c r="S62" s="427"/>
      <c r="T62" s="427"/>
      <c r="U62" s="427"/>
      <c r="V62" s="427"/>
    </row>
    <row r="63" spans="1:22" ht="15.75">
      <c r="A63" s="427"/>
      <c r="B63" s="427"/>
      <c r="C63" s="427"/>
      <c r="D63" s="427"/>
      <c r="E63" s="427"/>
      <c r="F63" s="427"/>
      <c r="G63" s="427"/>
      <c r="H63" s="427"/>
      <c r="I63" s="427"/>
      <c r="J63" s="427"/>
      <c r="K63" s="427"/>
      <c r="L63" s="427"/>
      <c r="M63" s="427"/>
      <c r="N63" s="427"/>
      <c r="O63" s="427"/>
      <c r="P63" s="427"/>
      <c r="Q63" s="427"/>
      <c r="R63" s="427"/>
      <c r="S63" s="427"/>
      <c r="T63" s="427"/>
      <c r="U63" s="427"/>
      <c r="V63" s="427"/>
    </row>
    <row r="64" spans="1:22" ht="15.75">
      <c r="A64" s="369"/>
      <c r="B64" s="369"/>
      <c r="C64" s="447"/>
      <c r="D64" s="447"/>
      <c r="E64" s="447"/>
      <c r="F64" s="447"/>
      <c r="G64" s="447"/>
      <c r="H64" s="447"/>
      <c r="I64" s="447"/>
      <c r="J64" s="447"/>
      <c r="K64" s="447"/>
      <c r="L64" s="447"/>
      <c r="M64" s="447"/>
      <c r="N64" s="447"/>
      <c r="O64" s="447"/>
      <c r="P64" s="447"/>
      <c r="Q64" s="447"/>
      <c r="R64" s="447"/>
      <c r="S64" s="447"/>
      <c r="T64" s="447"/>
      <c r="U64" s="447"/>
      <c r="V64" s="447"/>
    </row>
    <row r="65" spans="1:22" ht="15.75">
      <c r="A65" s="369"/>
      <c r="B65" s="369"/>
      <c r="C65" s="447"/>
      <c r="D65" s="447"/>
      <c r="E65" s="447"/>
      <c r="F65" s="447"/>
      <c r="G65" s="447"/>
      <c r="H65" s="447"/>
      <c r="I65" s="447"/>
      <c r="J65" s="447"/>
      <c r="K65" s="447"/>
      <c r="L65" s="447"/>
      <c r="M65" s="447"/>
      <c r="N65" s="447"/>
      <c r="O65" s="447"/>
      <c r="P65" s="447"/>
      <c r="Q65" s="447"/>
      <c r="R65" s="447"/>
      <c r="S65" s="447"/>
      <c r="T65" s="447"/>
      <c r="U65" s="447"/>
      <c r="V65" s="447"/>
    </row>
    <row r="66" spans="1:22" ht="15.75">
      <c r="A66" s="369"/>
      <c r="B66" s="369"/>
      <c r="C66" s="447"/>
      <c r="D66" s="447"/>
      <c r="E66" s="447"/>
      <c r="F66" s="447"/>
      <c r="G66" s="447"/>
      <c r="H66" s="447"/>
      <c r="I66" s="447"/>
      <c r="J66" s="447"/>
      <c r="K66" s="447"/>
      <c r="L66" s="447"/>
      <c r="M66" s="447"/>
      <c r="N66" s="447"/>
      <c r="O66" s="447"/>
      <c r="P66" s="447"/>
      <c r="Q66" s="447"/>
      <c r="R66" s="447"/>
      <c r="S66" s="447"/>
      <c r="T66" s="447"/>
      <c r="U66" s="447"/>
      <c r="V66" s="447"/>
    </row>
    <row r="67" spans="1:22" ht="15.75">
      <c r="A67" s="369"/>
      <c r="B67" s="369"/>
      <c r="C67" s="369"/>
      <c r="D67" s="369"/>
      <c r="E67" s="369"/>
      <c r="F67" s="369"/>
      <c r="G67" s="369"/>
      <c r="H67" s="369"/>
      <c r="I67" s="369"/>
      <c r="J67" s="369"/>
      <c r="K67" s="369"/>
      <c r="L67" s="369"/>
      <c r="M67" s="369"/>
      <c r="N67" s="369"/>
      <c r="O67" s="369"/>
      <c r="P67" s="369"/>
      <c r="Q67" s="369"/>
      <c r="R67" s="369"/>
      <c r="S67" s="369"/>
      <c r="T67" s="369"/>
      <c r="U67" s="369"/>
      <c r="V67" s="369"/>
    </row>
    <row r="68" spans="1:22" ht="15.75">
      <c r="A68" s="369"/>
      <c r="B68" s="369"/>
      <c r="C68" s="369"/>
      <c r="D68" s="369"/>
      <c r="E68" s="369"/>
      <c r="F68" s="369"/>
      <c r="G68" s="369"/>
      <c r="H68" s="369"/>
      <c r="I68" s="369"/>
      <c r="J68" s="369"/>
      <c r="K68" s="369"/>
      <c r="L68" s="369"/>
      <c r="M68" s="369"/>
      <c r="N68" s="369"/>
      <c r="O68" s="369"/>
      <c r="P68" s="369"/>
      <c r="Q68" s="369"/>
      <c r="R68" s="369"/>
      <c r="S68" s="369"/>
      <c r="T68" s="369"/>
      <c r="U68" s="369"/>
      <c r="V68" s="369"/>
    </row>
  </sheetData>
  <sheetProtection/>
  <mergeCells count="16">
    <mergeCell ref="A11:V11"/>
    <mergeCell ref="A12:V12"/>
    <mergeCell ref="A14:A17"/>
    <mergeCell ref="B14:B17"/>
    <mergeCell ref="C14:L14"/>
    <mergeCell ref="M14:V14"/>
    <mergeCell ref="C15:G15"/>
    <mergeCell ref="H15:L15"/>
    <mergeCell ref="M15:Q15"/>
    <mergeCell ref="R15:V15"/>
    <mergeCell ref="C16:G16"/>
    <mergeCell ref="H16:L16"/>
    <mergeCell ref="M16:Q16"/>
    <mergeCell ref="R16:V16"/>
    <mergeCell ref="C40:S40"/>
    <mergeCell ref="N41:O41"/>
  </mergeCells>
  <printOptions/>
  <pageMargins left="0.38" right="0.5" top="0.75" bottom="0.75" header="0.3" footer="0.3"/>
  <pageSetup fitToHeight="1" fitToWidth="1" horizontalDpi="600" verticalDpi="600" orientation="landscape" paperSize="9" scale="4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02"/>
  <sheetViews>
    <sheetView view="pageBreakPreview" zoomScale="75" zoomScaleNormal="90" zoomScaleSheetLayoutView="75" zoomScalePageLayoutView="0" workbookViewId="0" topLeftCell="A4">
      <selection activeCell="B20" sqref="B20"/>
    </sheetView>
  </sheetViews>
  <sheetFormatPr defaultColWidth="9.00390625" defaultRowHeight="15.75"/>
  <cols>
    <col min="1" max="1" width="57.875" style="301" customWidth="1"/>
    <col min="2" max="2" width="64.75390625" style="301" customWidth="1"/>
    <col min="3" max="3" width="22.00390625" style="462" customWidth="1"/>
    <col min="4" max="4" width="27.625" style="464" customWidth="1"/>
    <col min="5" max="5" width="9.75390625" style="482" bestFit="1" customWidth="1"/>
    <col min="6" max="6" width="9.00390625" style="482" customWidth="1"/>
    <col min="7" max="9" width="9.00390625" style="462" customWidth="1"/>
    <col min="10" max="16384" width="9.00390625" style="303" customWidth="1"/>
  </cols>
  <sheetData>
    <row r="1" ht="15.75">
      <c r="B1" s="302" t="s">
        <v>401</v>
      </c>
    </row>
    <row r="2" ht="15.75">
      <c r="B2" s="302" t="s">
        <v>37</v>
      </c>
    </row>
    <row r="3" ht="15.75">
      <c r="B3" s="289" t="s">
        <v>379</v>
      </c>
    </row>
    <row r="4" ht="15.75">
      <c r="B4" s="304"/>
    </row>
    <row r="5" ht="15.75">
      <c r="B5" s="2" t="s">
        <v>38</v>
      </c>
    </row>
    <row r="6" ht="15.75">
      <c r="B6" s="2" t="s">
        <v>647</v>
      </c>
    </row>
    <row r="7" ht="15.75">
      <c r="B7" s="2"/>
    </row>
    <row r="8" ht="15.75">
      <c r="B8" s="2" t="s">
        <v>648</v>
      </c>
    </row>
    <row r="9" ht="15.75">
      <c r="B9" s="2" t="s">
        <v>795</v>
      </c>
    </row>
    <row r="10" ht="15.75">
      <c r="B10" s="2" t="s">
        <v>42</v>
      </c>
    </row>
    <row r="11" ht="15.75">
      <c r="B11" s="305"/>
    </row>
    <row r="12" ht="15.75">
      <c r="B12" s="305"/>
    </row>
    <row r="13" spans="1:2" ht="30.75" customHeight="1">
      <c r="A13" s="1006" t="str">
        <f>'10 (ДЭС с.Пахачи) '!A13:B13</f>
        <v>Отчет о ходе реализации проектов (заполняется для наиболее значимых проектов*)
(представляется ежеквартально - 4 квартал 2016 года)</v>
      </c>
      <c r="B13" s="1007"/>
    </row>
    <row r="14" spans="1:2" ht="32.25" customHeight="1">
      <c r="A14" s="1008" t="str">
        <f>'10 (ДЭС с.Пахачи) '!A14:B14</f>
        <v>"Реконструкция и развитие электроснабжения АО "Корякэнерго"</v>
      </c>
      <c r="B14" s="1008"/>
    </row>
    <row r="15" ht="16.5" thickBot="1">
      <c r="B15" s="306"/>
    </row>
    <row r="16" spans="1:2" ht="30.75" customHeight="1" thickBot="1">
      <c r="A16" s="404" t="s">
        <v>274</v>
      </c>
      <c r="B16" s="426" t="str">
        <f>'7.1'!B20</f>
        <v>Реконструкция электроснабжения с. Усть-Хайрюзово (техническое перевооружение ДЭС)</v>
      </c>
    </row>
    <row r="17" spans="1:2" ht="16.5" thickBot="1">
      <c r="A17" s="404" t="s">
        <v>402</v>
      </c>
      <c r="B17" s="416" t="s">
        <v>569</v>
      </c>
    </row>
    <row r="18" spans="1:2" ht="16.5" thickBot="1">
      <c r="A18" s="404" t="s">
        <v>403</v>
      </c>
      <c r="B18" s="417" t="s">
        <v>482</v>
      </c>
    </row>
    <row r="19" spans="1:2" ht="16.5" thickBot="1">
      <c r="A19" s="404" t="s">
        <v>404</v>
      </c>
      <c r="B19" s="450" t="s">
        <v>589</v>
      </c>
    </row>
    <row r="20" spans="1:2" ht="16.5" thickBot="1">
      <c r="A20" s="405" t="s">
        <v>405</v>
      </c>
      <c r="B20" s="451" t="s">
        <v>591</v>
      </c>
    </row>
    <row r="21" spans="1:2" ht="30.75" thickBot="1">
      <c r="A21" s="406" t="s">
        <v>406</v>
      </c>
      <c r="B21" s="459" t="s">
        <v>608</v>
      </c>
    </row>
    <row r="22" spans="1:2" ht="16.5" thickBot="1">
      <c r="A22" s="307" t="s">
        <v>407</v>
      </c>
      <c r="B22" s="398"/>
    </row>
    <row r="23" spans="1:2" ht="30.75" thickBot="1">
      <c r="A23" s="398" t="s">
        <v>409</v>
      </c>
      <c r="B23" s="399" t="s">
        <v>652</v>
      </c>
    </row>
    <row r="24" spans="1:2" ht="60.75" thickBot="1">
      <c r="A24" s="401" t="s">
        <v>410</v>
      </c>
      <c r="B24" s="399" t="s">
        <v>603</v>
      </c>
    </row>
    <row r="25" spans="1:2" ht="60.75" thickBot="1">
      <c r="A25" s="398" t="s">
        <v>411</v>
      </c>
      <c r="B25" s="399" t="s">
        <v>408</v>
      </c>
    </row>
    <row r="26" spans="1:2" ht="16.5" thickBot="1">
      <c r="A26" s="405" t="s">
        <v>412</v>
      </c>
      <c r="B26" s="398"/>
    </row>
    <row r="27" spans="1:2" ht="30.75" thickBot="1">
      <c r="A27" s="398" t="s">
        <v>413</v>
      </c>
      <c r="B27" s="398" t="s">
        <v>408</v>
      </c>
    </row>
    <row r="28" spans="1:2" ht="16.5" thickBot="1">
      <c r="A28" s="405" t="s">
        <v>414</v>
      </c>
      <c r="B28" s="398"/>
    </row>
    <row r="29" spans="1:2" ht="30.75" thickBot="1">
      <c r="A29" s="407" t="s">
        <v>415</v>
      </c>
      <c r="B29" s="398" t="s">
        <v>408</v>
      </c>
    </row>
    <row r="30" spans="1:2" ht="16.5" thickBot="1">
      <c r="A30" s="405" t="s">
        <v>416</v>
      </c>
      <c r="B30" s="418" t="s">
        <v>417</v>
      </c>
    </row>
    <row r="31" spans="1:2" ht="16.5" thickBot="1">
      <c r="A31" s="307" t="s">
        <v>418</v>
      </c>
      <c r="B31" s="419" t="s">
        <v>571</v>
      </c>
    </row>
    <row r="32" spans="1:2" ht="20.25" customHeight="1" thickBot="1">
      <c r="A32" s="405" t="s">
        <v>419</v>
      </c>
      <c r="B32" s="401" t="s">
        <v>572</v>
      </c>
    </row>
    <row r="33" spans="1:2" ht="28.5">
      <c r="A33" s="307" t="s">
        <v>420</v>
      </c>
      <c r="B33" s="401"/>
    </row>
    <row r="34" spans="1:2" ht="45">
      <c r="A34" s="402" t="s">
        <v>421</v>
      </c>
      <c r="B34" s="402" t="s">
        <v>408</v>
      </c>
    </row>
    <row r="35" spans="1:2" ht="15.75">
      <c r="A35" s="402" t="s">
        <v>422</v>
      </c>
      <c r="B35" s="402" t="s">
        <v>408</v>
      </c>
    </row>
    <row r="36" spans="1:2" ht="15.75">
      <c r="A36" s="402" t="s">
        <v>423</v>
      </c>
      <c r="B36" s="402" t="s">
        <v>408</v>
      </c>
    </row>
    <row r="37" spans="1:2" ht="16.5" thickBot="1">
      <c r="A37" s="408" t="s">
        <v>424</v>
      </c>
      <c r="B37" s="402" t="s">
        <v>408</v>
      </c>
    </row>
    <row r="38" spans="1:2" ht="16.5" thickBot="1">
      <c r="A38" s="409" t="s">
        <v>425</v>
      </c>
      <c r="B38" s="420">
        <v>125.292</v>
      </c>
    </row>
    <row r="39" spans="1:2" ht="16.5" thickBot="1">
      <c r="A39" s="398" t="s">
        <v>426</v>
      </c>
      <c r="B39" s="398" t="s">
        <v>427</v>
      </c>
    </row>
    <row r="40" spans="1:2" ht="29.25" thickBot="1">
      <c r="A40" s="410" t="s">
        <v>428</v>
      </c>
      <c r="B40" s="421">
        <f>B41</f>
        <v>136.09289762</v>
      </c>
    </row>
    <row r="41" spans="1:2" ht="29.25" thickBot="1">
      <c r="A41" s="410" t="s">
        <v>429</v>
      </c>
      <c r="B41" s="421">
        <f>B44+B49</f>
        <v>136.09289762</v>
      </c>
    </row>
    <row r="42" spans="1:2" ht="16.5" thickBot="1">
      <c r="A42" s="399" t="s">
        <v>301</v>
      </c>
      <c r="B42" s="414"/>
    </row>
    <row r="43" spans="1:4" ht="38.25" customHeight="1" thickBot="1">
      <c r="A43" s="410" t="s">
        <v>430</v>
      </c>
      <c r="B43" s="421" t="s">
        <v>578</v>
      </c>
      <c r="C43" s="462" t="s">
        <v>593</v>
      </c>
      <c r="D43" s="465"/>
    </row>
    <row r="44" spans="1:2" ht="16.5" thickBot="1">
      <c r="A44" s="399" t="s">
        <v>431</v>
      </c>
      <c r="B44" s="421">
        <v>4.38193442</v>
      </c>
    </row>
    <row r="45" spans="1:2" ht="16.5" thickBot="1">
      <c r="A45" s="399" t="s">
        <v>432</v>
      </c>
      <c r="B45" s="398"/>
    </row>
    <row r="46" spans="1:2" ht="16.5" thickBot="1">
      <c r="A46" s="399" t="s">
        <v>433</v>
      </c>
      <c r="B46" s="398"/>
    </row>
    <row r="47" spans="1:2" ht="16.5" thickBot="1">
      <c r="A47" s="399" t="s">
        <v>434</v>
      </c>
      <c r="B47" s="398"/>
    </row>
    <row r="48" spans="1:4" ht="45.75" thickBot="1">
      <c r="A48" s="410" t="s">
        <v>435</v>
      </c>
      <c r="B48" s="399" t="s">
        <v>580</v>
      </c>
      <c r="D48" s="465"/>
    </row>
    <row r="49" spans="1:2" ht="16.5" thickBot="1">
      <c r="A49" s="399" t="s">
        <v>431</v>
      </c>
      <c r="B49" s="444">
        <f>131.7109632</f>
        <v>131.7109632</v>
      </c>
    </row>
    <row r="50" spans="1:2" ht="16.5" thickBot="1">
      <c r="A50" s="399" t="s">
        <v>432</v>
      </c>
      <c r="B50" s="398"/>
    </row>
    <row r="51" spans="1:2" ht="16.5" thickBot="1">
      <c r="A51" s="399" t="s">
        <v>433</v>
      </c>
      <c r="B51" s="398"/>
    </row>
    <row r="52" spans="1:2" ht="16.5" thickBot="1">
      <c r="A52" s="399" t="s">
        <v>434</v>
      </c>
      <c r="B52" s="398"/>
    </row>
    <row r="53" spans="1:2" ht="29.25" thickBot="1">
      <c r="A53" s="410" t="s">
        <v>436</v>
      </c>
      <c r="B53" s="414"/>
    </row>
    <row r="54" spans="1:2" ht="16.5" thickBot="1">
      <c r="A54" s="399" t="s">
        <v>431</v>
      </c>
      <c r="B54" s="421"/>
    </row>
    <row r="55" spans="1:2" ht="16.5" thickBot="1">
      <c r="A55" s="399" t="s">
        <v>432</v>
      </c>
      <c r="B55" s="398"/>
    </row>
    <row r="56" spans="1:2" ht="16.5" thickBot="1">
      <c r="A56" s="399" t="s">
        <v>433</v>
      </c>
      <c r="B56" s="398"/>
    </row>
    <row r="57" spans="1:2" ht="16.5" thickBot="1">
      <c r="A57" s="399" t="s">
        <v>434</v>
      </c>
      <c r="B57" s="398"/>
    </row>
    <row r="58" spans="1:2" ht="29.25" thickBot="1">
      <c r="A58" s="411" t="s">
        <v>437</v>
      </c>
      <c r="B58" s="422"/>
    </row>
    <row r="59" spans="1:2" ht="16.5" thickBot="1">
      <c r="A59" s="412" t="s">
        <v>301</v>
      </c>
      <c r="B59" s="422"/>
    </row>
    <row r="60" spans="1:2" ht="16.5" thickBot="1">
      <c r="A60" s="412" t="s">
        <v>438</v>
      </c>
      <c r="B60" s="422"/>
    </row>
    <row r="61" spans="1:2" ht="16.5" thickBot="1">
      <c r="A61" s="412" t="s">
        <v>439</v>
      </c>
      <c r="B61" s="815"/>
    </row>
    <row r="62" spans="1:2" ht="16.5" thickBot="1">
      <c r="A62" s="412" t="s">
        <v>440</v>
      </c>
      <c r="B62" s="815"/>
    </row>
    <row r="63" spans="1:4" ht="16.5" thickBot="1">
      <c r="A63" s="410" t="s">
        <v>441</v>
      </c>
      <c r="B63" s="423">
        <f>B64/B38</f>
        <v>0.7705909270344475</v>
      </c>
      <c r="D63" s="475"/>
    </row>
    <row r="64" spans="1:2" ht="16.5" thickBot="1">
      <c r="A64" s="410" t="s">
        <v>442</v>
      </c>
      <c r="B64" s="424">
        <v>96.54887843</v>
      </c>
    </row>
    <row r="65" spans="1:2" ht="16.5" thickBot="1">
      <c r="A65" s="410" t="s">
        <v>443</v>
      </c>
      <c r="B65" s="423">
        <f>B66/B38</f>
        <v>0.7124335537097339</v>
      </c>
    </row>
    <row r="66" spans="1:4" ht="16.5" thickBot="1">
      <c r="A66" s="409" t="s">
        <v>444</v>
      </c>
      <c r="B66" s="425">
        <v>89.26222481139999</v>
      </c>
      <c r="D66" s="475"/>
    </row>
    <row r="67" spans="1:2" ht="15.75">
      <c r="A67" s="307" t="s">
        <v>445</v>
      </c>
      <c r="B67" s="431"/>
    </row>
    <row r="68" spans="1:2" ht="15.75">
      <c r="A68" s="402" t="s">
        <v>446</v>
      </c>
      <c r="B68" s="402" t="s">
        <v>654</v>
      </c>
    </row>
    <row r="69" spans="1:2" ht="15.75">
      <c r="A69" s="402" t="s">
        <v>447</v>
      </c>
      <c r="B69" s="402" t="s">
        <v>570</v>
      </c>
    </row>
    <row r="70" spans="1:2" ht="15.75">
      <c r="A70" s="402" t="s">
        <v>448</v>
      </c>
      <c r="B70" s="402"/>
    </row>
    <row r="71" spans="1:2" ht="15.75">
      <c r="A71" s="402" t="s">
        <v>449</v>
      </c>
      <c r="B71" s="453" t="s">
        <v>594</v>
      </c>
    </row>
    <row r="72" spans="1:2" ht="16.5" thickBot="1">
      <c r="A72" s="403" t="s">
        <v>450</v>
      </c>
      <c r="B72" s="403"/>
    </row>
    <row r="73" spans="1:2" ht="30.75" thickBot="1">
      <c r="A73" s="401" t="s">
        <v>451</v>
      </c>
      <c r="B73" s="398" t="s">
        <v>452</v>
      </c>
    </row>
    <row r="74" spans="1:2" ht="29.25" thickBot="1">
      <c r="A74" s="405" t="s">
        <v>453</v>
      </c>
      <c r="B74" s="398"/>
    </row>
    <row r="75" spans="1:2" ht="16.5" thickBot="1">
      <c r="A75" s="401" t="s">
        <v>301</v>
      </c>
      <c r="B75" s="400"/>
    </row>
    <row r="76" spans="1:2" ht="16.5" thickBot="1">
      <c r="A76" s="401" t="s">
        <v>454</v>
      </c>
      <c r="B76" s="398"/>
    </row>
    <row r="77" spans="1:2" ht="16.5" thickBot="1">
      <c r="A77" s="401" t="s">
        <v>455</v>
      </c>
      <c r="B77" s="400"/>
    </row>
    <row r="78" spans="1:2" ht="16.5" thickBot="1">
      <c r="A78" s="307" t="s">
        <v>456</v>
      </c>
      <c r="B78" s="401"/>
    </row>
    <row r="79" spans="1:2" ht="16.5" thickBot="1">
      <c r="A79" s="405" t="s">
        <v>457</v>
      </c>
      <c r="B79" s="401"/>
    </row>
    <row r="80" spans="1:2" ht="16.5" thickBot="1">
      <c r="A80" s="402" t="s">
        <v>458</v>
      </c>
      <c r="B80" s="400"/>
    </row>
    <row r="81" spans="1:2" ht="16.5" thickBot="1">
      <c r="A81" s="402" t="s">
        <v>459</v>
      </c>
      <c r="B81" s="400"/>
    </row>
    <row r="82" spans="1:2" ht="16.5" thickBot="1">
      <c r="A82" s="402" t="s">
        <v>460</v>
      </c>
      <c r="B82" s="400"/>
    </row>
    <row r="83" spans="1:2" ht="29.25" thickBot="1">
      <c r="A83" s="307" t="s">
        <v>461</v>
      </c>
      <c r="B83" s="400"/>
    </row>
    <row r="84" spans="1:2" ht="28.5">
      <c r="A84" s="307" t="s">
        <v>462</v>
      </c>
      <c r="B84" s="1009"/>
    </row>
    <row r="85" spans="1:2" ht="15.75">
      <c r="A85" s="402" t="s">
        <v>463</v>
      </c>
      <c r="B85" s="1010"/>
    </row>
    <row r="86" spans="1:2" ht="15.75">
      <c r="A86" s="402" t="s">
        <v>464</v>
      </c>
      <c r="B86" s="1010"/>
    </row>
    <row r="87" spans="1:2" ht="15.75">
      <c r="A87" s="402" t="s">
        <v>465</v>
      </c>
      <c r="B87" s="1010"/>
    </row>
    <row r="88" spans="1:2" ht="15.75">
      <c r="A88" s="402" t="s">
        <v>466</v>
      </c>
      <c r="B88" s="1010"/>
    </row>
    <row r="89" spans="1:2" ht="16.5" thickBot="1">
      <c r="A89" s="413" t="s">
        <v>467</v>
      </c>
      <c r="B89" s="1011"/>
    </row>
    <row r="91" spans="1:2" ht="15.75">
      <c r="A91" s="308" t="s">
        <v>468</v>
      </c>
      <c r="B91" s="308"/>
    </row>
    <row r="92" ht="15.75">
      <c r="A92" s="301" t="s">
        <v>469</v>
      </c>
    </row>
    <row r="93" ht="15.75">
      <c r="A93" s="301" t="s">
        <v>470</v>
      </c>
    </row>
    <row r="94" ht="15.75">
      <c r="A94" s="301" t="s">
        <v>471</v>
      </c>
    </row>
    <row r="95" ht="15.75">
      <c r="A95" s="301" t="s">
        <v>472</v>
      </c>
    </row>
    <row r="96" ht="15.75">
      <c r="A96" s="301" t="s">
        <v>473</v>
      </c>
    </row>
    <row r="97" ht="15.75">
      <c r="A97" s="301" t="s">
        <v>474</v>
      </c>
    </row>
    <row r="98" spans="1:2" ht="15.75">
      <c r="A98" s="1012" t="s">
        <v>475</v>
      </c>
      <c r="B98" s="1012"/>
    </row>
    <row r="100" spans="1:2" ht="15.75">
      <c r="A100" s="1013" t="s">
        <v>733</v>
      </c>
      <c r="B100" s="1013"/>
    </row>
    <row r="101" ht="15.75">
      <c r="B101" s="309"/>
    </row>
    <row r="102" ht="15.75">
      <c r="B102" s="310"/>
    </row>
  </sheetData>
  <sheetProtection/>
  <mergeCells count="5">
    <mergeCell ref="A13:B13"/>
    <mergeCell ref="A14:B14"/>
    <mergeCell ref="B84:B89"/>
    <mergeCell ref="A98:B98"/>
    <mergeCell ref="A100:B100"/>
  </mergeCells>
  <printOptions/>
  <pageMargins left="0.7" right="0.23" top="0.75" bottom="0.32" header="0.3" footer="0.3"/>
  <pageSetup fitToHeight="2" fitToWidth="1" horizontalDpi="600" verticalDpi="600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02"/>
  <sheetViews>
    <sheetView view="pageBreakPreview" zoomScale="75" zoomScaleNormal="75" zoomScaleSheetLayoutView="75" zoomScalePageLayoutView="0" workbookViewId="0" topLeftCell="A10">
      <selection activeCell="B20" sqref="B20"/>
    </sheetView>
  </sheetViews>
  <sheetFormatPr defaultColWidth="9.00390625" defaultRowHeight="15.75"/>
  <cols>
    <col min="1" max="1" width="57.875" style="301" customWidth="1"/>
    <col min="2" max="2" width="64.50390625" style="301" customWidth="1"/>
    <col min="3" max="3" width="28.375" style="464" customWidth="1"/>
    <col min="4" max="6" width="9.00390625" style="303" customWidth="1"/>
    <col min="7" max="7" width="9.75390625" style="481" bestFit="1" customWidth="1"/>
    <col min="8" max="8" width="9.00390625" style="481" customWidth="1"/>
    <col min="9" max="16384" width="9.00390625" style="303" customWidth="1"/>
  </cols>
  <sheetData>
    <row r="1" ht="15.75">
      <c r="B1" s="302" t="s">
        <v>401</v>
      </c>
    </row>
    <row r="2" ht="15.75">
      <c r="B2" s="302" t="s">
        <v>37</v>
      </c>
    </row>
    <row r="3" ht="15.75">
      <c r="B3" s="289" t="s">
        <v>379</v>
      </c>
    </row>
    <row r="4" ht="15.75">
      <c r="B4" s="304"/>
    </row>
    <row r="5" ht="15.75">
      <c r="B5" s="2" t="s">
        <v>38</v>
      </c>
    </row>
    <row r="6" ht="15.75">
      <c r="B6" s="2" t="s">
        <v>647</v>
      </c>
    </row>
    <row r="7" ht="15.75">
      <c r="B7" s="2"/>
    </row>
    <row r="8" ht="15.75">
      <c r="B8" s="2" t="s">
        <v>648</v>
      </c>
    </row>
    <row r="9" ht="15.75">
      <c r="B9" s="2" t="s">
        <v>795</v>
      </c>
    </row>
    <row r="10" ht="15.75">
      <c r="B10" s="2" t="s">
        <v>42</v>
      </c>
    </row>
    <row r="11" ht="15.75">
      <c r="B11" s="305"/>
    </row>
    <row r="12" ht="15.75">
      <c r="B12" s="305"/>
    </row>
    <row r="13" spans="1:2" ht="30.75" customHeight="1">
      <c r="A13" s="1006" t="str">
        <f>'10 (ДЭС с.Средние Пахачи)'!A13:B13</f>
        <v>Отчет о ходе реализации проектов (заполняется для наиболее значимых проектов*)
(представляется ежеквартально - 4 квартал 2016 года)</v>
      </c>
      <c r="B13" s="1007"/>
    </row>
    <row r="14" spans="1:2" ht="32.25" customHeight="1">
      <c r="A14" s="1008" t="str">
        <f>'10 (ДЭС с.Средние Пахачи)'!A14:B14</f>
        <v>"Реконструкция и развитие электроснабжения АО "Корякэнерго"</v>
      </c>
      <c r="B14" s="1008"/>
    </row>
    <row r="15" ht="16.5" thickBot="1">
      <c r="B15" s="306"/>
    </row>
    <row r="16" spans="1:2" ht="25.5" customHeight="1" thickBot="1">
      <c r="A16" s="404" t="s">
        <v>274</v>
      </c>
      <c r="B16" s="415" t="s">
        <v>617</v>
      </c>
    </row>
    <row r="17" spans="1:2" ht="16.5" thickBot="1">
      <c r="A17" s="404" t="s">
        <v>402</v>
      </c>
      <c r="B17" s="416" t="s">
        <v>618</v>
      </c>
    </row>
    <row r="18" spans="1:2" ht="16.5" thickBot="1">
      <c r="A18" s="404" t="s">
        <v>403</v>
      </c>
      <c r="B18" s="417" t="s">
        <v>574</v>
      </c>
    </row>
    <row r="19" spans="1:2" ht="16.5" thickBot="1">
      <c r="A19" s="404" t="s">
        <v>404</v>
      </c>
      <c r="B19" s="450" t="s">
        <v>619</v>
      </c>
    </row>
    <row r="20" spans="1:2" ht="16.5" thickBot="1">
      <c r="A20" s="405" t="s">
        <v>405</v>
      </c>
      <c r="B20" s="451" t="s">
        <v>592</v>
      </c>
    </row>
    <row r="21" spans="1:4" ht="16.5" thickBot="1">
      <c r="A21" s="406" t="s">
        <v>406</v>
      </c>
      <c r="B21" s="459" t="s">
        <v>711</v>
      </c>
      <c r="D21" s="454"/>
    </row>
    <row r="22" spans="1:2" ht="16.5" thickBot="1">
      <c r="A22" s="307" t="s">
        <v>407</v>
      </c>
      <c r="B22" s="398" t="s">
        <v>408</v>
      </c>
    </row>
    <row r="23" spans="1:2" ht="30.75" thickBot="1">
      <c r="A23" s="398" t="s">
        <v>409</v>
      </c>
      <c r="B23" s="399" t="s">
        <v>652</v>
      </c>
    </row>
    <row r="24" spans="1:2" ht="60.75" thickBot="1">
      <c r="A24" s="401" t="s">
        <v>410</v>
      </c>
      <c r="B24" s="399" t="s">
        <v>408</v>
      </c>
    </row>
    <row r="25" spans="1:2" ht="60.75" thickBot="1">
      <c r="A25" s="398" t="s">
        <v>411</v>
      </c>
      <c r="B25" s="398" t="s">
        <v>408</v>
      </c>
    </row>
    <row r="26" spans="1:2" ht="16.5" thickBot="1">
      <c r="A26" s="405" t="s">
        <v>412</v>
      </c>
      <c r="B26" s="398"/>
    </row>
    <row r="27" spans="1:2" ht="30.75" thickBot="1">
      <c r="A27" s="398" t="s">
        <v>413</v>
      </c>
      <c r="B27" s="398" t="s">
        <v>408</v>
      </c>
    </row>
    <row r="28" spans="1:2" ht="16.5" thickBot="1">
      <c r="A28" s="405" t="s">
        <v>414</v>
      </c>
      <c r="B28" s="398"/>
    </row>
    <row r="29" spans="1:2" ht="30.75" thickBot="1">
      <c r="A29" s="407" t="s">
        <v>415</v>
      </c>
      <c r="B29" s="398" t="s">
        <v>408</v>
      </c>
    </row>
    <row r="30" spans="1:2" ht="16.5" thickBot="1">
      <c r="A30" s="405" t="s">
        <v>416</v>
      </c>
      <c r="B30" s="418" t="s">
        <v>417</v>
      </c>
    </row>
    <row r="31" spans="1:2" ht="16.5" thickBot="1">
      <c r="A31" s="307" t="s">
        <v>418</v>
      </c>
      <c r="B31" s="452" t="s">
        <v>620</v>
      </c>
    </row>
    <row r="32" spans="1:2" ht="18.75" customHeight="1" thickBot="1">
      <c r="A32" s="405" t="s">
        <v>419</v>
      </c>
      <c r="B32" s="431" t="s">
        <v>572</v>
      </c>
    </row>
    <row r="33" spans="1:2" ht="28.5">
      <c r="A33" s="307" t="s">
        <v>420</v>
      </c>
      <c r="B33" s="401"/>
    </row>
    <row r="34" spans="1:2" ht="45">
      <c r="A34" s="402" t="s">
        <v>421</v>
      </c>
      <c r="B34" s="402" t="s">
        <v>408</v>
      </c>
    </row>
    <row r="35" spans="1:2" ht="15.75">
      <c r="A35" s="402" t="s">
        <v>422</v>
      </c>
      <c r="B35" s="402" t="s">
        <v>408</v>
      </c>
    </row>
    <row r="36" spans="1:2" ht="15.75">
      <c r="A36" s="402" t="s">
        <v>423</v>
      </c>
      <c r="B36" s="402" t="s">
        <v>408</v>
      </c>
    </row>
    <row r="37" spans="1:2" ht="16.5" thickBot="1">
      <c r="A37" s="408" t="s">
        <v>424</v>
      </c>
      <c r="B37" s="402" t="s">
        <v>408</v>
      </c>
    </row>
    <row r="38" spans="1:2" ht="16.5" thickBot="1">
      <c r="A38" s="409" t="s">
        <v>425</v>
      </c>
      <c r="B38" s="420">
        <v>3.019</v>
      </c>
    </row>
    <row r="39" spans="1:2" ht="16.5" thickBot="1">
      <c r="A39" s="398" t="s">
        <v>426</v>
      </c>
      <c r="B39" s="398" t="s">
        <v>427</v>
      </c>
    </row>
    <row r="40" spans="1:2" ht="29.25" thickBot="1">
      <c r="A40" s="410" t="s">
        <v>428</v>
      </c>
      <c r="B40" s="421">
        <f>B41</f>
        <v>2.9693806032</v>
      </c>
    </row>
    <row r="41" spans="1:3" ht="29.25" thickBot="1">
      <c r="A41" s="410" t="s">
        <v>429</v>
      </c>
      <c r="B41" s="421">
        <f>B49+B44+B54</f>
        <v>2.9693806032</v>
      </c>
      <c r="C41" s="816" t="b">
        <f>B41='7.1'!P21</f>
        <v>1</v>
      </c>
    </row>
    <row r="42" spans="1:2" ht="16.5" thickBot="1">
      <c r="A42" s="399" t="s">
        <v>301</v>
      </c>
      <c r="B42" s="414"/>
    </row>
    <row r="43" spans="1:3" ht="29.25" thickBot="1">
      <c r="A43" s="410" t="s">
        <v>430</v>
      </c>
      <c r="B43" s="421" t="s">
        <v>621</v>
      </c>
      <c r="C43" s="465"/>
    </row>
    <row r="44" spans="1:2" ht="16.5" thickBot="1">
      <c r="A44" s="399" t="s">
        <v>431</v>
      </c>
      <c r="B44" s="421">
        <f>2.8839436-((0.33738-0.10824-0.13529)*1.18)</f>
        <v>2.7732006</v>
      </c>
    </row>
    <row r="45" spans="1:2" ht="16.5" thickBot="1">
      <c r="A45" s="399" t="s">
        <v>432</v>
      </c>
      <c r="B45" s="398"/>
    </row>
    <row r="46" spans="1:2" ht="16.5" thickBot="1">
      <c r="A46" s="399" t="s">
        <v>433</v>
      </c>
      <c r="B46" s="398"/>
    </row>
    <row r="47" spans="1:2" ht="16.5" thickBot="1">
      <c r="A47" s="399" t="s">
        <v>434</v>
      </c>
      <c r="B47" s="398"/>
    </row>
    <row r="48" spans="1:3" ht="29.25" thickBot="1">
      <c r="A48" s="410" t="s">
        <v>435</v>
      </c>
      <c r="B48" s="399"/>
      <c r="C48" s="465"/>
    </row>
    <row r="49" spans="1:2" ht="16.5" thickBot="1">
      <c r="A49" s="399" t="s">
        <v>431</v>
      </c>
      <c r="B49" s="421"/>
    </row>
    <row r="50" spans="1:2" ht="16.5" thickBot="1">
      <c r="A50" s="399" t="s">
        <v>432</v>
      </c>
      <c r="B50" s="398"/>
    </row>
    <row r="51" spans="1:2" ht="16.5" thickBot="1">
      <c r="A51" s="399" t="s">
        <v>433</v>
      </c>
      <c r="B51" s="398"/>
    </row>
    <row r="52" spans="1:2" ht="16.5" thickBot="1">
      <c r="A52" s="399" t="s">
        <v>434</v>
      </c>
      <c r="B52" s="398"/>
    </row>
    <row r="53" spans="1:2" ht="45.75" thickBot="1">
      <c r="A53" s="410" t="s">
        <v>436</v>
      </c>
      <c r="B53" s="414" t="s">
        <v>624</v>
      </c>
    </row>
    <row r="54" spans="1:2" ht="16.5" thickBot="1">
      <c r="A54" s="399" t="s">
        <v>431</v>
      </c>
      <c r="B54" s="421">
        <f>((125+155+320+400+165254.24)/1000000)*1.18</f>
        <v>0.19618000319999998</v>
      </c>
    </row>
    <row r="55" spans="1:2" ht="16.5" thickBot="1">
      <c r="A55" s="399" t="s">
        <v>432</v>
      </c>
      <c r="B55" s="398"/>
    </row>
    <row r="56" spans="1:2" ht="16.5" thickBot="1">
      <c r="A56" s="399" t="s">
        <v>433</v>
      </c>
      <c r="B56" s="398"/>
    </row>
    <row r="57" spans="1:2" ht="16.5" thickBot="1">
      <c r="A57" s="399" t="s">
        <v>434</v>
      </c>
      <c r="B57" s="398"/>
    </row>
    <row r="58" spans="1:2" ht="29.25" thickBot="1">
      <c r="A58" s="411" t="s">
        <v>437</v>
      </c>
      <c r="B58" s="422"/>
    </row>
    <row r="59" spans="1:2" ht="16.5" thickBot="1">
      <c r="A59" s="412" t="s">
        <v>301</v>
      </c>
      <c r="B59" s="422"/>
    </row>
    <row r="60" spans="1:2" ht="16.5" thickBot="1">
      <c r="A60" s="412" t="s">
        <v>438</v>
      </c>
      <c r="B60" s="422"/>
    </row>
    <row r="61" spans="1:2" ht="16.5" thickBot="1">
      <c r="A61" s="412" t="s">
        <v>439</v>
      </c>
      <c r="B61" s="422"/>
    </row>
    <row r="62" spans="1:2" ht="16.5" thickBot="1">
      <c r="A62" s="412" t="s">
        <v>440</v>
      </c>
      <c r="B62" s="422"/>
    </row>
    <row r="63" spans="1:2" ht="16.5" thickBot="1">
      <c r="A63" s="410" t="s">
        <v>441</v>
      </c>
      <c r="B63" s="423">
        <f>B64/B40</f>
        <v>1</v>
      </c>
    </row>
    <row r="64" spans="1:2" ht="16.5" thickBot="1">
      <c r="A64" s="410" t="s">
        <v>442</v>
      </c>
      <c r="B64" s="424">
        <f>'7.1'!E21</f>
        <v>2.9693806032</v>
      </c>
    </row>
    <row r="65" spans="1:2" ht="16.5" thickBot="1">
      <c r="A65" s="410" t="s">
        <v>443</v>
      </c>
      <c r="B65" s="423">
        <f>B66/B40</f>
        <v>1</v>
      </c>
    </row>
    <row r="66" spans="1:2" ht="16.5" thickBot="1">
      <c r="A66" s="409" t="s">
        <v>444</v>
      </c>
      <c r="B66" s="425">
        <f>'7.1'!N21</f>
        <v>2.9693806032</v>
      </c>
    </row>
    <row r="67" spans="1:2" ht="15.75">
      <c r="A67" s="307" t="s">
        <v>445</v>
      </c>
      <c r="B67" s="401"/>
    </row>
    <row r="68" spans="1:2" ht="15.75">
      <c r="A68" s="402" t="s">
        <v>446</v>
      </c>
      <c r="B68" s="402" t="s">
        <v>654</v>
      </c>
    </row>
    <row r="69" spans="1:2" ht="15.75">
      <c r="A69" s="402" t="s">
        <v>447</v>
      </c>
      <c r="B69" s="402"/>
    </row>
    <row r="70" spans="1:2" ht="15.75">
      <c r="A70" s="402" t="s">
        <v>448</v>
      </c>
      <c r="B70" s="402"/>
    </row>
    <row r="71" spans="1:2" ht="15.75">
      <c r="A71" s="402" t="s">
        <v>449</v>
      </c>
      <c r="B71" s="402"/>
    </row>
    <row r="72" spans="1:2" ht="16.5" thickBot="1">
      <c r="A72" s="403" t="s">
        <v>450</v>
      </c>
      <c r="B72" s="492" t="s">
        <v>622</v>
      </c>
    </row>
    <row r="73" spans="1:2" ht="30.75" thickBot="1">
      <c r="A73" s="401" t="s">
        <v>451</v>
      </c>
      <c r="B73" s="398" t="s">
        <v>452</v>
      </c>
    </row>
    <row r="74" spans="1:2" ht="29.25" thickBot="1">
      <c r="A74" s="405" t="s">
        <v>453</v>
      </c>
      <c r="B74" s="398"/>
    </row>
    <row r="75" spans="1:2" ht="16.5" thickBot="1">
      <c r="A75" s="401" t="s">
        <v>301</v>
      </c>
      <c r="B75" s="400"/>
    </row>
    <row r="76" spans="1:2" ht="16.5" thickBot="1">
      <c r="A76" s="401" t="s">
        <v>454</v>
      </c>
      <c r="B76" s="398"/>
    </row>
    <row r="77" spans="1:2" ht="16.5" thickBot="1">
      <c r="A77" s="401" t="s">
        <v>455</v>
      </c>
      <c r="B77" s="400"/>
    </row>
    <row r="78" spans="1:2" ht="16.5" thickBot="1">
      <c r="A78" s="307" t="s">
        <v>456</v>
      </c>
      <c r="B78" s="401"/>
    </row>
    <row r="79" spans="1:2" ht="16.5" thickBot="1">
      <c r="A79" s="405" t="s">
        <v>457</v>
      </c>
      <c r="B79" s="401"/>
    </row>
    <row r="80" spans="1:2" ht="16.5" thickBot="1">
      <c r="A80" s="402" t="s">
        <v>458</v>
      </c>
      <c r="B80" s="400"/>
    </row>
    <row r="81" spans="1:2" ht="16.5" thickBot="1">
      <c r="A81" s="402" t="s">
        <v>459</v>
      </c>
      <c r="B81" s="400"/>
    </row>
    <row r="82" spans="1:2" ht="16.5" thickBot="1">
      <c r="A82" s="402" t="s">
        <v>460</v>
      </c>
      <c r="B82" s="400"/>
    </row>
    <row r="83" spans="1:2" ht="30.75" thickBot="1">
      <c r="A83" s="307" t="s">
        <v>461</v>
      </c>
      <c r="B83" s="551" t="s">
        <v>712</v>
      </c>
    </row>
    <row r="84" spans="1:2" ht="28.5">
      <c r="A84" s="307" t="s">
        <v>462</v>
      </c>
      <c r="B84" s="1009"/>
    </row>
    <row r="85" spans="1:2" ht="15.75">
      <c r="A85" s="402" t="s">
        <v>463</v>
      </c>
      <c r="B85" s="1010"/>
    </row>
    <row r="86" spans="1:2" ht="15.75">
      <c r="A86" s="402" t="s">
        <v>464</v>
      </c>
      <c r="B86" s="1010"/>
    </row>
    <row r="87" spans="1:2" ht="15.75">
      <c r="A87" s="402" t="s">
        <v>465</v>
      </c>
      <c r="B87" s="1010"/>
    </row>
    <row r="88" spans="1:2" ht="15.75">
      <c r="A88" s="402" t="s">
        <v>466</v>
      </c>
      <c r="B88" s="1010"/>
    </row>
    <row r="89" spans="1:2" ht="16.5" thickBot="1">
      <c r="A89" s="413" t="s">
        <v>467</v>
      </c>
      <c r="B89" s="1011"/>
    </row>
    <row r="91" spans="1:2" ht="15.75">
      <c r="A91" s="308" t="s">
        <v>468</v>
      </c>
      <c r="B91" s="308"/>
    </row>
    <row r="92" ht="15.75">
      <c r="A92" s="301" t="s">
        <v>469</v>
      </c>
    </row>
    <row r="93" ht="15.75">
      <c r="A93" s="301" t="s">
        <v>470</v>
      </c>
    </row>
    <row r="94" ht="15.75">
      <c r="A94" s="301" t="s">
        <v>471</v>
      </c>
    </row>
    <row r="95" ht="15.75">
      <c r="A95" s="301" t="s">
        <v>472</v>
      </c>
    </row>
    <row r="96" ht="15.75">
      <c r="A96" s="301" t="s">
        <v>473</v>
      </c>
    </row>
    <row r="97" ht="15.75">
      <c r="A97" s="301" t="s">
        <v>474</v>
      </c>
    </row>
    <row r="98" spans="1:2" ht="15.75">
      <c r="A98" s="1012" t="s">
        <v>475</v>
      </c>
      <c r="B98" s="1012"/>
    </row>
    <row r="100" spans="1:2" ht="15.75">
      <c r="A100" s="1013" t="str">
        <f>'10 (ДЭС с.Усть-Хайрюзово)'!A100:B100</f>
        <v>Начальник ПТО                                                                                                         С.А.Апекин</v>
      </c>
      <c r="B100" s="1013"/>
    </row>
    <row r="101" ht="15.75">
      <c r="B101" s="309"/>
    </row>
    <row r="102" ht="15.75">
      <c r="B102" s="310"/>
    </row>
  </sheetData>
  <sheetProtection/>
  <mergeCells count="5">
    <mergeCell ref="A13:B13"/>
    <mergeCell ref="A14:B14"/>
    <mergeCell ref="B84:B89"/>
    <mergeCell ref="A98:B98"/>
    <mergeCell ref="A100:B10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7" r:id="rId1"/>
  <colBreaks count="1" manualBreakCount="1">
    <brk id="2" max="99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07"/>
  <sheetViews>
    <sheetView view="pageBreakPreview" zoomScale="75" zoomScaleNormal="90" zoomScaleSheetLayoutView="75" zoomScalePageLayoutView="0" workbookViewId="0" topLeftCell="A10">
      <selection activeCell="B20" sqref="B20"/>
    </sheetView>
  </sheetViews>
  <sheetFormatPr defaultColWidth="9.00390625" defaultRowHeight="15.75"/>
  <cols>
    <col min="1" max="1" width="57.875" style="301" customWidth="1"/>
    <col min="2" max="2" width="64.875" style="301" customWidth="1"/>
    <col min="3" max="3" width="28.375" style="493" customWidth="1"/>
    <col min="4" max="6" width="9.00390625" style="303" customWidth="1"/>
    <col min="7" max="7" width="9.75390625" style="481" bestFit="1" customWidth="1"/>
    <col min="8" max="8" width="9.00390625" style="481" customWidth="1"/>
    <col min="9" max="16384" width="9.00390625" style="303" customWidth="1"/>
  </cols>
  <sheetData>
    <row r="1" ht="15.75">
      <c r="B1" s="302" t="s">
        <v>401</v>
      </c>
    </row>
    <row r="2" ht="15.75">
      <c r="B2" s="302" t="s">
        <v>37</v>
      </c>
    </row>
    <row r="3" ht="15.75">
      <c r="B3" s="289" t="s">
        <v>379</v>
      </c>
    </row>
    <row r="4" ht="15.75">
      <c r="B4" s="304"/>
    </row>
    <row r="5" ht="15.75">
      <c r="B5" s="2" t="s">
        <v>38</v>
      </c>
    </row>
    <row r="6" ht="15.75">
      <c r="B6" s="2" t="s">
        <v>647</v>
      </c>
    </row>
    <row r="7" ht="15.75">
      <c r="B7" s="2"/>
    </row>
    <row r="8" ht="15.75">
      <c r="B8" s="2" t="s">
        <v>648</v>
      </c>
    </row>
    <row r="9" ht="15.75">
      <c r="B9" s="2" t="s">
        <v>795</v>
      </c>
    </row>
    <row r="10" ht="15.75">
      <c r="B10" s="2" t="s">
        <v>42</v>
      </c>
    </row>
    <row r="11" ht="15.75">
      <c r="B11" s="305"/>
    </row>
    <row r="12" ht="15.75">
      <c r="B12" s="305"/>
    </row>
    <row r="13" spans="1:2" ht="30.75" customHeight="1">
      <c r="A13" s="1006" t="s">
        <v>789</v>
      </c>
      <c r="B13" s="1007"/>
    </row>
    <row r="14" spans="1:2" ht="32.25" customHeight="1">
      <c r="A14" s="1014" t="str">
        <f>'10 (ДЭС п. Таёжный)'!A14:B14</f>
        <v>"Реконструкция и развитие электроснабжения АО "Корякэнерго"</v>
      </c>
      <c r="B14" s="1014"/>
    </row>
    <row r="15" ht="16.5" thickBot="1">
      <c r="B15" s="306"/>
    </row>
    <row r="16" spans="1:2" ht="55.5" customHeight="1" thickBot="1">
      <c r="A16" s="404" t="s">
        <v>274</v>
      </c>
      <c r="B16" s="426" t="str">
        <f>'7.1'!B22</f>
        <v>Реконструкция основных генерирующих мощностей модульной ДЭС-8 с.Верхние Тиличики Олюторского района на основе полной замены основного генерирующего оборудования взамен изношенного</v>
      </c>
    </row>
    <row r="17" spans="1:2" ht="16.5" thickBot="1">
      <c r="A17" s="404" t="s">
        <v>402</v>
      </c>
      <c r="B17" s="416" t="s">
        <v>699</v>
      </c>
    </row>
    <row r="18" spans="1:2" ht="16.5" thickBot="1">
      <c r="A18" s="404" t="s">
        <v>403</v>
      </c>
      <c r="B18" s="417" t="s">
        <v>574</v>
      </c>
    </row>
    <row r="19" spans="1:2" ht="16.5" thickBot="1">
      <c r="A19" s="404" t="s">
        <v>404</v>
      </c>
      <c r="B19" s="450" t="s">
        <v>700</v>
      </c>
    </row>
    <row r="20" spans="1:2" ht="16.5" thickBot="1">
      <c r="A20" s="405" t="s">
        <v>405</v>
      </c>
      <c r="B20" s="451" t="s">
        <v>730</v>
      </c>
    </row>
    <row r="21" spans="1:4" ht="16.5" thickBot="1">
      <c r="A21" s="406" t="s">
        <v>406</v>
      </c>
      <c r="B21" s="459" t="s">
        <v>595</v>
      </c>
      <c r="D21" s="454"/>
    </row>
    <row r="22" spans="1:2" ht="16.5" thickBot="1">
      <c r="A22" s="307" t="s">
        <v>407</v>
      </c>
      <c r="B22" s="398" t="s">
        <v>408</v>
      </c>
    </row>
    <row r="23" spans="1:2" ht="30.75" thickBot="1">
      <c r="A23" s="398" t="s">
        <v>409</v>
      </c>
      <c r="B23" s="399" t="s">
        <v>731</v>
      </c>
    </row>
    <row r="24" spans="1:2" ht="60.75" thickBot="1">
      <c r="A24" s="401" t="s">
        <v>410</v>
      </c>
      <c r="B24" s="399" t="s">
        <v>408</v>
      </c>
    </row>
    <row r="25" spans="1:2" ht="60.75" thickBot="1">
      <c r="A25" s="398" t="s">
        <v>411</v>
      </c>
      <c r="B25" s="398" t="s">
        <v>408</v>
      </c>
    </row>
    <row r="26" spans="1:2" ht="16.5" thickBot="1">
      <c r="A26" s="405" t="s">
        <v>412</v>
      </c>
      <c r="B26" s="398"/>
    </row>
    <row r="27" spans="1:2" ht="30.75" thickBot="1">
      <c r="A27" s="398" t="s">
        <v>413</v>
      </c>
      <c r="B27" s="398" t="s">
        <v>408</v>
      </c>
    </row>
    <row r="28" spans="1:2" ht="16.5" thickBot="1">
      <c r="A28" s="405" t="s">
        <v>414</v>
      </c>
      <c r="B28" s="398"/>
    </row>
    <row r="29" spans="1:2" ht="30.75" thickBot="1">
      <c r="A29" s="407" t="s">
        <v>415</v>
      </c>
      <c r="B29" s="398" t="s">
        <v>408</v>
      </c>
    </row>
    <row r="30" spans="1:2" ht="16.5" thickBot="1">
      <c r="A30" s="405" t="s">
        <v>416</v>
      </c>
      <c r="B30" s="418" t="s">
        <v>417</v>
      </c>
    </row>
    <row r="31" spans="1:2" ht="16.5" thickBot="1">
      <c r="A31" s="307" t="s">
        <v>418</v>
      </c>
      <c r="B31" s="419" t="s">
        <v>701</v>
      </c>
    </row>
    <row r="32" spans="1:2" ht="18.75" customHeight="1" thickBot="1">
      <c r="A32" s="405" t="s">
        <v>419</v>
      </c>
      <c r="B32" s="431" t="s">
        <v>572</v>
      </c>
    </row>
    <row r="33" spans="1:2" ht="28.5">
      <c r="A33" s="307" t="s">
        <v>420</v>
      </c>
      <c r="B33" s="401"/>
    </row>
    <row r="34" spans="1:2" ht="45">
      <c r="A34" s="402" t="s">
        <v>421</v>
      </c>
      <c r="B34" s="402" t="s">
        <v>408</v>
      </c>
    </row>
    <row r="35" spans="1:2" ht="15.75">
      <c r="A35" s="402" t="s">
        <v>422</v>
      </c>
      <c r="B35" s="402" t="s">
        <v>408</v>
      </c>
    </row>
    <row r="36" spans="1:2" ht="15.75">
      <c r="A36" s="402" t="s">
        <v>423</v>
      </c>
      <c r="B36" s="402" t="s">
        <v>408</v>
      </c>
    </row>
    <row r="37" spans="1:2" ht="16.5" thickBot="1">
      <c r="A37" s="408" t="s">
        <v>424</v>
      </c>
      <c r="B37" s="402" t="s">
        <v>408</v>
      </c>
    </row>
    <row r="38" spans="1:2" ht="16.5" thickBot="1">
      <c r="A38" s="409" t="s">
        <v>425</v>
      </c>
      <c r="B38" s="420">
        <f>'7.1'!C22</f>
        <v>97.652</v>
      </c>
    </row>
    <row r="39" spans="1:2" ht="16.5" thickBot="1">
      <c r="A39" s="398" t="s">
        <v>426</v>
      </c>
      <c r="B39" s="398" t="s">
        <v>702</v>
      </c>
    </row>
    <row r="40" spans="1:2" ht="29.25" thickBot="1">
      <c r="A40" s="410" t="s">
        <v>428</v>
      </c>
      <c r="B40" s="421">
        <f>B41</f>
        <v>87.00467078</v>
      </c>
    </row>
    <row r="41" spans="1:2" ht="29.25" thickBot="1">
      <c r="A41" s="410" t="s">
        <v>429</v>
      </c>
      <c r="B41" s="421">
        <f>B49+B44+B54+B59</f>
        <v>87.00467078</v>
      </c>
    </row>
    <row r="42" spans="1:2" ht="16.5" thickBot="1">
      <c r="A42" s="399" t="s">
        <v>301</v>
      </c>
      <c r="B42" s="414"/>
    </row>
    <row r="43" spans="1:3" ht="29.25" thickBot="1">
      <c r="A43" s="410" t="s">
        <v>430</v>
      </c>
      <c r="B43" s="421"/>
      <c r="C43" s="494"/>
    </row>
    <row r="44" spans="1:2" ht="16.5" thickBot="1">
      <c r="A44" s="399" t="s">
        <v>431</v>
      </c>
      <c r="B44" s="421"/>
    </row>
    <row r="45" spans="1:2" ht="16.5" thickBot="1">
      <c r="A45" s="399" t="s">
        <v>432</v>
      </c>
      <c r="B45" s="398"/>
    </row>
    <row r="46" spans="1:2" ht="16.5" thickBot="1">
      <c r="A46" s="399" t="s">
        <v>433</v>
      </c>
      <c r="B46" s="398"/>
    </row>
    <row r="47" spans="1:2" ht="16.5" thickBot="1">
      <c r="A47" s="399" t="s">
        <v>434</v>
      </c>
      <c r="B47" s="398"/>
    </row>
    <row r="48" spans="1:3" ht="29.25" thickBot="1">
      <c r="A48" s="410" t="s">
        <v>435</v>
      </c>
      <c r="B48" s="421" t="s">
        <v>703</v>
      </c>
      <c r="C48" s="494"/>
    </row>
    <row r="49" spans="1:3" ht="16.5" thickBot="1">
      <c r="A49" s="399" t="s">
        <v>431</v>
      </c>
      <c r="B49" s="421">
        <f>2.0969898+4.68576956</f>
        <v>6.78275936</v>
      </c>
      <c r="C49" s="493" t="s">
        <v>128</v>
      </c>
    </row>
    <row r="50" spans="1:2" ht="16.5" thickBot="1">
      <c r="A50" s="399" t="s">
        <v>432</v>
      </c>
      <c r="B50" s="398"/>
    </row>
    <row r="51" spans="1:2" ht="16.5" thickBot="1">
      <c r="A51" s="399" t="s">
        <v>433</v>
      </c>
      <c r="B51" s="398"/>
    </row>
    <row r="52" spans="1:2" ht="16.5" thickBot="1">
      <c r="A52" s="399" t="s">
        <v>434</v>
      </c>
      <c r="B52" s="398"/>
    </row>
    <row r="53" spans="1:2" ht="32.25" customHeight="1" thickBot="1">
      <c r="A53" s="410" t="s">
        <v>436</v>
      </c>
      <c r="B53" s="421" t="s">
        <v>732</v>
      </c>
    </row>
    <row r="54" spans="1:2" ht="16.5" thickBot="1">
      <c r="A54" s="399" t="s">
        <v>431</v>
      </c>
      <c r="B54" s="421">
        <f>26.74063714*3</f>
        <v>80.22191142</v>
      </c>
    </row>
    <row r="55" spans="1:2" ht="16.5" thickBot="1">
      <c r="A55" s="399" t="s">
        <v>432</v>
      </c>
      <c r="B55" s="398"/>
    </row>
    <row r="56" spans="1:2" ht="16.5" thickBot="1">
      <c r="A56" s="399" t="s">
        <v>433</v>
      </c>
      <c r="B56" s="398"/>
    </row>
    <row r="57" spans="1:2" ht="16.5" thickBot="1">
      <c r="A57" s="399" t="s">
        <v>434</v>
      </c>
      <c r="B57" s="398"/>
    </row>
    <row r="58" spans="1:2" ht="29.25" thickBot="1">
      <c r="A58" s="410" t="s">
        <v>436</v>
      </c>
      <c r="B58" s="414"/>
    </row>
    <row r="59" spans="1:2" ht="16.5" thickBot="1">
      <c r="A59" s="399" t="s">
        <v>431</v>
      </c>
      <c r="B59" s="421"/>
    </row>
    <row r="60" spans="1:2" ht="16.5" thickBot="1">
      <c r="A60" s="399" t="s">
        <v>432</v>
      </c>
      <c r="B60" s="398"/>
    </row>
    <row r="61" spans="1:2" ht="16.5" thickBot="1">
      <c r="A61" s="399" t="s">
        <v>433</v>
      </c>
      <c r="B61" s="398"/>
    </row>
    <row r="62" spans="1:4" ht="16.5" thickBot="1">
      <c r="A62" s="399" t="s">
        <v>434</v>
      </c>
      <c r="B62" s="398"/>
      <c r="D62" s="541"/>
    </row>
    <row r="63" spans="1:2" ht="29.25" thickBot="1">
      <c r="A63" s="411" t="s">
        <v>437</v>
      </c>
      <c r="B63" s="422"/>
    </row>
    <row r="64" spans="1:2" ht="16.5" thickBot="1">
      <c r="A64" s="412" t="s">
        <v>301</v>
      </c>
      <c r="B64" s="422"/>
    </row>
    <row r="65" spans="1:2" ht="16.5" thickBot="1">
      <c r="A65" s="412" t="s">
        <v>438</v>
      </c>
      <c r="B65" s="422"/>
    </row>
    <row r="66" spans="1:2" ht="16.5" thickBot="1">
      <c r="A66" s="412" t="s">
        <v>439</v>
      </c>
      <c r="B66" s="422"/>
    </row>
    <row r="67" spans="1:2" ht="16.5" thickBot="1">
      <c r="A67" s="412" t="s">
        <v>440</v>
      </c>
      <c r="B67" s="422"/>
    </row>
    <row r="68" spans="1:2" ht="16.5" thickBot="1">
      <c r="A68" s="410" t="s">
        <v>441</v>
      </c>
      <c r="B68" s="423">
        <f>B69/B38</f>
        <v>0.13295186222504404</v>
      </c>
    </row>
    <row r="69" spans="1:2" ht="16.5" thickBot="1">
      <c r="A69" s="410" t="s">
        <v>442</v>
      </c>
      <c r="B69" s="424">
        <f>'7.1'!E22</f>
        <v>12.983015250000001</v>
      </c>
    </row>
    <row r="70" spans="1:2" ht="16.5" thickBot="1">
      <c r="A70" s="410" t="s">
        <v>443</v>
      </c>
      <c r="B70" s="423">
        <f>B71/B38</f>
        <v>0.0055960377421865395</v>
      </c>
    </row>
    <row r="71" spans="1:2" ht="16.5" thickBot="1">
      <c r="A71" s="409" t="s">
        <v>444</v>
      </c>
      <c r="B71" s="425">
        <f>'7.1'!N22</f>
        <v>0.5464642775999999</v>
      </c>
    </row>
    <row r="72" spans="1:2" ht="15.75">
      <c r="A72" s="307" t="s">
        <v>445</v>
      </c>
      <c r="B72" s="401"/>
    </row>
    <row r="73" spans="1:2" ht="15.75">
      <c r="A73" s="402" t="s">
        <v>446</v>
      </c>
      <c r="B73" s="402" t="s">
        <v>653</v>
      </c>
    </row>
    <row r="74" spans="1:2" ht="15.75">
      <c r="A74" s="402" t="s">
        <v>447</v>
      </c>
      <c r="B74" s="402"/>
    </row>
    <row r="75" spans="1:2" ht="15.75">
      <c r="A75" s="402" t="s">
        <v>448</v>
      </c>
      <c r="B75" s="402"/>
    </row>
    <row r="76" spans="1:2" ht="15.75">
      <c r="A76" s="402" t="s">
        <v>449</v>
      </c>
      <c r="B76" s="402" t="s">
        <v>704</v>
      </c>
    </row>
    <row r="77" spans="1:2" ht="16.5" thickBot="1">
      <c r="A77" s="403" t="s">
        <v>450</v>
      </c>
      <c r="B77" s="403" t="s">
        <v>704</v>
      </c>
    </row>
    <row r="78" spans="1:2" ht="30.75" thickBot="1">
      <c r="A78" s="401" t="s">
        <v>451</v>
      </c>
      <c r="B78" s="398" t="s">
        <v>452</v>
      </c>
    </row>
    <row r="79" spans="1:2" ht="29.25" thickBot="1">
      <c r="A79" s="405" t="s">
        <v>453</v>
      </c>
      <c r="B79" s="398"/>
    </row>
    <row r="80" spans="1:2" ht="16.5" thickBot="1">
      <c r="A80" s="401" t="s">
        <v>301</v>
      </c>
      <c r="B80" s="400"/>
    </row>
    <row r="81" spans="1:2" ht="16.5" thickBot="1">
      <c r="A81" s="401" t="s">
        <v>454</v>
      </c>
      <c r="B81" s="398"/>
    </row>
    <row r="82" spans="1:2" ht="16.5" thickBot="1">
      <c r="A82" s="401" t="s">
        <v>455</v>
      </c>
      <c r="B82" s="400"/>
    </row>
    <row r="83" spans="1:2" ht="16.5" thickBot="1">
      <c r="A83" s="307" t="s">
        <v>456</v>
      </c>
      <c r="B83" s="401"/>
    </row>
    <row r="84" spans="1:2" ht="16.5" thickBot="1">
      <c r="A84" s="405" t="s">
        <v>457</v>
      </c>
      <c r="B84" s="401"/>
    </row>
    <row r="85" spans="1:2" ht="16.5" thickBot="1">
      <c r="A85" s="402" t="s">
        <v>458</v>
      </c>
      <c r="B85" s="400"/>
    </row>
    <row r="86" spans="1:2" ht="16.5" thickBot="1">
      <c r="A86" s="402" t="s">
        <v>459</v>
      </c>
      <c r="B86" s="400"/>
    </row>
    <row r="87" spans="1:2" ht="16.5" thickBot="1">
      <c r="A87" s="402" t="s">
        <v>460</v>
      </c>
      <c r="B87" s="400"/>
    </row>
    <row r="88" spans="1:2" ht="29.25" thickBot="1">
      <c r="A88" s="307" t="s">
        <v>461</v>
      </c>
      <c r="B88" s="551"/>
    </row>
    <row r="89" spans="1:2" ht="28.5">
      <c r="A89" s="307" t="s">
        <v>462</v>
      </c>
      <c r="B89" s="1009"/>
    </row>
    <row r="90" spans="1:2" ht="15.75">
      <c r="A90" s="402" t="s">
        <v>463</v>
      </c>
      <c r="B90" s="1010"/>
    </row>
    <row r="91" spans="1:2" ht="15.75">
      <c r="A91" s="402" t="s">
        <v>464</v>
      </c>
      <c r="B91" s="1010"/>
    </row>
    <row r="92" spans="1:2" ht="15.75">
      <c r="A92" s="402" t="s">
        <v>465</v>
      </c>
      <c r="B92" s="1010"/>
    </row>
    <row r="93" spans="1:2" ht="15.75">
      <c r="A93" s="402" t="s">
        <v>466</v>
      </c>
      <c r="B93" s="1010"/>
    </row>
    <row r="94" spans="1:2" ht="16.5" thickBot="1">
      <c r="A94" s="413" t="s">
        <v>467</v>
      </c>
      <c r="B94" s="1011"/>
    </row>
    <row r="96" spans="1:2" ht="15.75">
      <c r="A96" s="308" t="s">
        <v>468</v>
      </c>
      <c r="B96" s="308"/>
    </row>
    <row r="97" ht="15.75">
      <c r="A97" s="301" t="s">
        <v>469</v>
      </c>
    </row>
    <row r="98" ht="15.75">
      <c r="A98" s="301" t="s">
        <v>470</v>
      </c>
    </row>
    <row r="99" ht="15.75">
      <c r="A99" s="301" t="s">
        <v>471</v>
      </c>
    </row>
    <row r="100" ht="15.75">
      <c r="A100" s="301" t="s">
        <v>472</v>
      </c>
    </row>
    <row r="101" ht="15.75">
      <c r="A101" s="301" t="s">
        <v>473</v>
      </c>
    </row>
    <row r="102" ht="15.75">
      <c r="A102" s="301" t="s">
        <v>474</v>
      </c>
    </row>
    <row r="103" spans="1:2" ht="15.75">
      <c r="A103" s="1012" t="s">
        <v>475</v>
      </c>
      <c r="B103" s="1012"/>
    </row>
    <row r="105" spans="1:2" ht="15.75">
      <c r="A105" s="1013" t="str">
        <f>'10 (ДЭС п. Таёжный)'!A100:B100</f>
        <v>Начальник ПТО                                                                                                         С.А.Апекин</v>
      </c>
      <c r="B105" s="1013"/>
    </row>
    <row r="106" ht="15.75">
      <c r="B106" s="309"/>
    </row>
    <row r="107" ht="15.75">
      <c r="B107" s="310"/>
    </row>
  </sheetData>
  <sheetProtection/>
  <mergeCells count="5">
    <mergeCell ref="A13:B13"/>
    <mergeCell ref="A14:B14"/>
    <mergeCell ref="B89:B94"/>
    <mergeCell ref="A103:B103"/>
    <mergeCell ref="A105:B105"/>
  </mergeCells>
  <printOptions/>
  <pageMargins left="0.7" right="0.23" top="0.75" bottom="0.32" header="0.3" footer="0.3"/>
  <pageSetup fitToHeight="2" fitToWidth="1" horizontalDpi="600" verticalDpi="600" orientation="portrait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07"/>
  <sheetViews>
    <sheetView view="pageBreakPreview" zoomScale="75" zoomScaleNormal="90" zoomScaleSheetLayoutView="75" zoomScalePageLayoutView="0" workbookViewId="0" topLeftCell="A4">
      <selection activeCell="B38" sqref="B38"/>
    </sheetView>
  </sheetViews>
  <sheetFormatPr defaultColWidth="9.00390625" defaultRowHeight="15.75"/>
  <cols>
    <col min="1" max="1" width="57.875" style="301" customWidth="1"/>
    <col min="2" max="2" width="64.875" style="301" customWidth="1"/>
    <col min="3" max="3" width="28.375" style="493" customWidth="1"/>
    <col min="4" max="6" width="9.00390625" style="303" customWidth="1"/>
    <col min="7" max="7" width="9.75390625" style="481" bestFit="1" customWidth="1"/>
    <col min="8" max="8" width="9.00390625" style="481" customWidth="1"/>
    <col min="9" max="16384" width="9.00390625" style="303" customWidth="1"/>
  </cols>
  <sheetData>
    <row r="1" ht="15.75">
      <c r="B1" s="302" t="s">
        <v>401</v>
      </c>
    </row>
    <row r="2" ht="15.75">
      <c r="B2" s="302" t="s">
        <v>37</v>
      </c>
    </row>
    <row r="3" ht="15.75">
      <c r="B3" s="289" t="s">
        <v>379</v>
      </c>
    </row>
    <row r="4" ht="15.75">
      <c r="B4" s="304"/>
    </row>
    <row r="5" ht="15.75">
      <c r="B5" s="2" t="s">
        <v>38</v>
      </c>
    </row>
    <row r="6" ht="15.75">
      <c r="B6" s="2" t="s">
        <v>647</v>
      </c>
    </row>
    <row r="7" ht="15.75">
      <c r="B7" s="2"/>
    </row>
    <row r="8" ht="15.75">
      <c r="B8" s="2" t="s">
        <v>648</v>
      </c>
    </row>
    <row r="9" ht="15.75">
      <c r="B9" s="2" t="s">
        <v>795</v>
      </c>
    </row>
    <row r="10" ht="15.75">
      <c r="B10" s="2" t="s">
        <v>42</v>
      </c>
    </row>
    <row r="11" ht="15.75">
      <c r="B11" s="305"/>
    </row>
    <row r="12" ht="15.75">
      <c r="B12" s="305"/>
    </row>
    <row r="13" spans="1:2" ht="30.75" customHeight="1">
      <c r="A13" s="1006" t="str">
        <f>'10 (ДЭС с.Усть-Хайрюзово)'!A13:B13</f>
        <v>Отчет о ходе реализации проектов (заполняется для наиболее значимых проектов*)
(представляется ежеквартально - 4 квартал 2016 года)</v>
      </c>
      <c r="B13" s="1007"/>
    </row>
    <row r="14" spans="1:2" ht="32.25" customHeight="1">
      <c r="A14" s="1008" t="str">
        <f>'10 (ДЭС с.Усть-Хайрюзово)'!A14:B14</f>
        <v>"Реконструкция и развитие электроснабжения АО "Корякэнерго"</v>
      </c>
      <c r="B14" s="1008"/>
    </row>
    <row r="15" ht="16.5" thickBot="1">
      <c r="B15" s="306"/>
    </row>
    <row r="16" spans="1:2" ht="25.5" customHeight="1" thickBot="1">
      <c r="A16" s="404" t="s">
        <v>274</v>
      </c>
      <c r="B16" s="415" t="s">
        <v>649</v>
      </c>
    </row>
    <row r="17" spans="1:2" ht="16.5" thickBot="1">
      <c r="A17" s="404" t="s">
        <v>402</v>
      </c>
      <c r="B17" s="416" t="s">
        <v>573</v>
      </c>
    </row>
    <row r="18" spans="1:2" ht="16.5" thickBot="1">
      <c r="A18" s="404" t="s">
        <v>403</v>
      </c>
      <c r="B18" s="417" t="s">
        <v>574</v>
      </c>
    </row>
    <row r="19" spans="1:2" ht="16.5" thickBot="1">
      <c r="A19" s="404" t="s">
        <v>404</v>
      </c>
      <c r="B19" s="450" t="s">
        <v>590</v>
      </c>
    </row>
    <row r="20" spans="1:2" ht="16.5" thickBot="1">
      <c r="A20" s="405" t="s">
        <v>405</v>
      </c>
      <c r="B20" s="451" t="s">
        <v>592</v>
      </c>
    </row>
    <row r="21" spans="1:4" ht="16.5" thickBot="1">
      <c r="A21" s="406" t="s">
        <v>406</v>
      </c>
      <c r="B21" s="459" t="s">
        <v>711</v>
      </c>
      <c r="D21" s="454"/>
    </row>
    <row r="22" spans="1:2" ht="16.5" thickBot="1">
      <c r="A22" s="307" t="s">
        <v>407</v>
      </c>
      <c r="B22" s="398" t="s">
        <v>408</v>
      </c>
    </row>
    <row r="23" spans="1:2" ht="30.75" thickBot="1">
      <c r="A23" s="398" t="s">
        <v>409</v>
      </c>
      <c r="B23" s="399" t="s">
        <v>655</v>
      </c>
    </row>
    <row r="24" spans="1:2" ht="60.75" thickBot="1">
      <c r="A24" s="401" t="s">
        <v>410</v>
      </c>
      <c r="B24" s="399" t="s">
        <v>408</v>
      </c>
    </row>
    <row r="25" spans="1:2" ht="60.75" thickBot="1">
      <c r="A25" s="398" t="s">
        <v>411</v>
      </c>
      <c r="B25" s="398" t="s">
        <v>408</v>
      </c>
    </row>
    <row r="26" spans="1:2" ht="16.5" thickBot="1">
      <c r="A26" s="405" t="s">
        <v>412</v>
      </c>
      <c r="B26" s="398"/>
    </row>
    <row r="27" spans="1:2" ht="30.75" thickBot="1">
      <c r="A27" s="398" t="s">
        <v>413</v>
      </c>
      <c r="B27" s="398" t="s">
        <v>408</v>
      </c>
    </row>
    <row r="28" spans="1:2" ht="16.5" thickBot="1">
      <c r="A28" s="405" t="s">
        <v>414</v>
      </c>
      <c r="B28" s="398"/>
    </row>
    <row r="29" spans="1:2" ht="30.75" thickBot="1">
      <c r="A29" s="407" t="s">
        <v>415</v>
      </c>
      <c r="B29" s="398" t="s">
        <v>408</v>
      </c>
    </row>
    <row r="30" spans="1:2" ht="16.5" thickBot="1">
      <c r="A30" s="405" t="s">
        <v>416</v>
      </c>
      <c r="B30" s="418" t="s">
        <v>417</v>
      </c>
    </row>
    <row r="31" spans="1:2" ht="16.5" thickBot="1">
      <c r="A31" s="307" t="s">
        <v>418</v>
      </c>
      <c r="B31" s="419" t="s">
        <v>575</v>
      </c>
    </row>
    <row r="32" spans="1:2" ht="18.75" customHeight="1" thickBot="1">
      <c r="A32" s="405" t="s">
        <v>419</v>
      </c>
      <c r="B32" s="431" t="s">
        <v>572</v>
      </c>
    </row>
    <row r="33" spans="1:2" ht="28.5">
      <c r="A33" s="307" t="s">
        <v>420</v>
      </c>
      <c r="B33" s="401"/>
    </row>
    <row r="34" spans="1:2" ht="45">
      <c r="A34" s="402" t="s">
        <v>421</v>
      </c>
      <c r="B34" s="402" t="s">
        <v>408</v>
      </c>
    </row>
    <row r="35" spans="1:2" ht="15.75">
      <c r="A35" s="402" t="s">
        <v>422</v>
      </c>
      <c r="B35" s="402" t="s">
        <v>408</v>
      </c>
    </row>
    <row r="36" spans="1:2" ht="15.75">
      <c r="A36" s="402" t="s">
        <v>423</v>
      </c>
      <c r="B36" s="402" t="s">
        <v>408</v>
      </c>
    </row>
    <row r="37" spans="1:2" ht="16.5" thickBot="1">
      <c r="A37" s="408" t="s">
        <v>424</v>
      </c>
      <c r="B37" s="402" t="s">
        <v>408</v>
      </c>
    </row>
    <row r="38" spans="1:2" ht="16.5" thickBot="1">
      <c r="A38" s="409" t="s">
        <v>425</v>
      </c>
      <c r="B38" s="420">
        <v>9.04</v>
      </c>
    </row>
    <row r="39" spans="1:2" ht="16.5" thickBot="1">
      <c r="A39" s="398" t="s">
        <v>426</v>
      </c>
      <c r="B39" s="398" t="s">
        <v>427</v>
      </c>
    </row>
    <row r="40" spans="1:3" ht="29.25" thickBot="1">
      <c r="A40" s="410" t="s">
        <v>428</v>
      </c>
      <c r="B40" s="421">
        <f>B41</f>
        <v>8.9744043396</v>
      </c>
      <c r="C40" s="817">
        <f>B40-'7.1'!P23</f>
        <v>-5.400000446798003E-09</v>
      </c>
    </row>
    <row r="41" spans="1:2" ht="29.25" thickBot="1">
      <c r="A41" s="410" t="s">
        <v>429</v>
      </c>
      <c r="B41" s="421">
        <f>B49+B44+B54+B59</f>
        <v>8.9744043396</v>
      </c>
    </row>
    <row r="42" spans="1:2" ht="16.5" thickBot="1">
      <c r="A42" s="399" t="s">
        <v>301</v>
      </c>
      <c r="B42" s="414"/>
    </row>
    <row r="43" spans="1:3" ht="30.75" thickBot="1">
      <c r="A43" s="410" t="s">
        <v>430</v>
      </c>
      <c r="B43" s="421" t="s">
        <v>607</v>
      </c>
      <c r="C43" s="494" t="s">
        <v>625</v>
      </c>
    </row>
    <row r="44" spans="1:2" ht="16.5" thickBot="1">
      <c r="A44" s="399" t="s">
        <v>431</v>
      </c>
      <c r="B44" s="421">
        <v>0.368431</v>
      </c>
    </row>
    <row r="45" spans="1:2" ht="16.5" thickBot="1">
      <c r="A45" s="399" t="s">
        <v>432</v>
      </c>
      <c r="B45" s="398"/>
    </row>
    <row r="46" spans="1:2" ht="16.5" thickBot="1">
      <c r="A46" s="399" t="s">
        <v>433</v>
      </c>
      <c r="B46" s="398"/>
    </row>
    <row r="47" spans="1:2" ht="16.5" thickBot="1">
      <c r="A47" s="399" t="s">
        <v>434</v>
      </c>
      <c r="B47" s="398"/>
    </row>
    <row r="48" spans="1:3" ht="45.75" thickBot="1">
      <c r="A48" s="410" t="s">
        <v>435</v>
      </c>
      <c r="B48" s="399" t="s">
        <v>576</v>
      </c>
      <c r="C48" s="494" t="s">
        <v>626</v>
      </c>
    </row>
    <row r="49" spans="1:3" ht="16.5" thickBot="1">
      <c r="A49" s="399" t="s">
        <v>431</v>
      </c>
      <c r="B49" s="421">
        <v>7.123296</v>
      </c>
      <c r="C49" s="493" t="s">
        <v>128</v>
      </c>
    </row>
    <row r="50" spans="1:2" ht="16.5" thickBot="1">
      <c r="A50" s="399" t="s">
        <v>432</v>
      </c>
      <c r="B50" s="398"/>
    </row>
    <row r="51" spans="1:2" ht="16.5" thickBot="1">
      <c r="A51" s="399" t="s">
        <v>433</v>
      </c>
      <c r="B51" s="398"/>
    </row>
    <row r="52" spans="1:2" ht="16.5" thickBot="1">
      <c r="A52" s="399" t="s">
        <v>434</v>
      </c>
      <c r="B52" s="398"/>
    </row>
    <row r="53" spans="1:3" ht="29.25" thickBot="1">
      <c r="A53" s="410" t="s">
        <v>436</v>
      </c>
      <c r="B53" s="421" t="s">
        <v>623</v>
      </c>
      <c r="C53" s="493" t="s">
        <v>627</v>
      </c>
    </row>
    <row r="54" spans="1:2" ht="16.5" thickBot="1">
      <c r="A54" s="399" t="s">
        <v>431</v>
      </c>
      <c r="B54" s="421">
        <f>0.03061958*1.18</f>
        <v>0.036131104399999996</v>
      </c>
    </row>
    <row r="55" spans="1:2" ht="16.5" thickBot="1">
      <c r="A55" s="399" t="s">
        <v>432</v>
      </c>
      <c r="B55" s="398"/>
    </row>
    <row r="56" spans="1:2" ht="16.5" thickBot="1">
      <c r="A56" s="399" t="s">
        <v>433</v>
      </c>
      <c r="B56" s="398"/>
    </row>
    <row r="57" spans="1:2" ht="16.5" thickBot="1">
      <c r="A57" s="399" t="s">
        <v>434</v>
      </c>
      <c r="B57" s="398"/>
    </row>
    <row r="58" spans="1:3" ht="45.75" thickBot="1">
      <c r="A58" s="410" t="s">
        <v>436</v>
      </c>
      <c r="B58" s="414" t="s">
        <v>624</v>
      </c>
      <c r="C58" s="493" t="s">
        <v>628</v>
      </c>
    </row>
    <row r="59" spans="1:2" ht="16.5" thickBot="1">
      <c r="A59" s="399" t="s">
        <v>431</v>
      </c>
      <c r="B59" s="421">
        <f>1.60898664*1.18-0.452058</f>
        <v>1.4465462351999998</v>
      </c>
    </row>
    <row r="60" spans="1:2" ht="16.5" thickBot="1">
      <c r="A60" s="399" t="s">
        <v>432</v>
      </c>
      <c r="B60" s="398"/>
    </row>
    <row r="61" spans="1:2" ht="16.5" thickBot="1">
      <c r="A61" s="399" t="s">
        <v>433</v>
      </c>
      <c r="B61" s="398"/>
    </row>
    <row r="62" spans="1:4" ht="16.5" thickBot="1">
      <c r="A62" s="399" t="s">
        <v>434</v>
      </c>
      <c r="B62" s="398"/>
      <c r="D62" s="541"/>
    </row>
    <row r="63" spans="1:2" ht="29.25" thickBot="1">
      <c r="A63" s="411" t="s">
        <v>437</v>
      </c>
      <c r="B63" s="422"/>
    </row>
    <row r="64" spans="1:2" ht="16.5" thickBot="1">
      <c r="A64" s="412" t="s">
        <v>301</v>
      </c>
      <c r="B64" s="422"/>
    </row>
    <row r="65" spans="1:2" ht="16.5" thickBot="1">
      <c r="A65" s="412" t="s">
        <v>438</v>
      </c>
      <c r="B65" s="422"/>
    </row>
    <row r="66" spans="1:2" ht="16.5" thickBot="1">
      <c r="A66" s="412" t="s">
        <v>439</v>
      </c>
      <c r="B66" s="422"/>
    </row>
    <row r="67" spans="1:2" ht="16.5" thickBot="1">
      <c r="A67" s="412" t="s">
        <v>440</v>
      </c>
      <c r="B67" s="422"/>
    </row>
    <row r="68" spans="1:2" ht="16.5" thickBot="1">
      <c r="A68" s="410" t="s">
        <v>441</v>
      </c>
      <c r="B68" s="423">
        <f>B69/B40</f>
        <v>1</v>
      </c>
    </row>
    <row r="69" spans="1:2" ht="16.5" thickBot="1">
      <c r="A69" s="410" t="s">
        <v>442</v>
      </c>
      <c r="B69" s="424">
        <v>8.9744043396</v>
      </c>
    </row>
    <row r="70" spans="1:2" ht="16.5" thickBot="1">
      <c r="A70" s="410" t="s">
        <v>443</v>
      </c>
      <c r="B70" s="423">
        <f>B71/B40</f>
        <v>1.0000000006017113</v>
      </c>
    </row>
    <row r="71" spans="1:2" ht="16.5" thickBot="1">
      <c r="A71" s="409" t="s">
        <v>444</v>
      </c>
      <c r="B71" s="425">
        <v>8.974404345</v>
      </c>
    </row>
    <row r="72" spans="1:2" ht="15.75">
      <c r="A72" s="307" t="s">
        <v>445</v>
      </c>
      <c r="B72" s="401"/>
    </row>
    <row r="73" spans="1:2" ht="15.75">
      <c r="A73" s="402" t="s">
        <v>446</v>
      </c>
      <c r="B73" s="402" t="s">
        <v>653</v>
      </c>
    </row>
    <row r="74" spans="1:2" ht="15.75">
      <c r="A74" s="402" t="s">
        <v>447</v>
      </c>
      <c r="B74" s="402"/>
    </row>
    <row r="75" spans="1:2" ht="15.75">
      <c r="A75" s="402" t="s">
        <v>448</v>
      </c>
      <c r="B75" s="402"/>
    </row>
    <row r="76" spans="1:2" ht="15.75">
      <c r="A76" s="402" t="s">
        <v>449</v>
      </c>
      <c r="B76" s="402"/>
    </row>
    <row r="77" spans="1:2" ht="16.5" thickBot="1">
      <c r="A77" s="403" t="s">
        <v>450</v>
      </c>
      <c r="B77" s="403" t="s">
        <v>577</v>
      </c>
    </row>
    <row r="78" spans="1:2" ht="30.75" thickBot="1">
      <c r="A78" s="401" t="s">
        <v>451</v>
      </c>
      <c r="B78" s="398" t="s">
        <v>452</v>
      </c>
    </row>
    <row r="79" spans="1:2" ht="29.25" thickBot="1">
      <c r="A79" s="405" t="s">
        <v>453</v>
      </c>
      <c r="B79" s="398"/>
    </row>
    <row r="80" spans="1:2" ht="16.5" thickBot="1">
      <c r="A80" s="401" t="s">
        <v>301</v>
      </c>
      <c r="B80" s="400"/>
    </row>
    <row r="81" spans="1:2" ht="16.5" thickBot="1">
      <c r="A81" s="401" t="s">
        <v>454</v>
      </c>
      <c r="B81" s="398"/>
    </row>
    <row r="82" spans="1:2" ht="16.5" thickBot="1">
      <c r="A82" s="401" t="s">
        <v>455</v>
      </c>
      <c r="B82" s="400"/>
    </row>
    <row r="83" spans="1:2" ht="16.5" thickBot="1">
      <c r="A83" s="307" t="s">
        <v>456</v>
      </c>
      <c r="B83" s="401"/>
    </row>
    <row r="84" spans="1:2" ht="16.5" thickBot="1">
      <c r="A84" s="405" t="s">
        <v>457</v>
      </c>
      <c r="B84" s="401"/>
    </row>
    <row r="85" spans="1:2" ht="16.5" thickBot="1">
      <c r="A85" s="402" t="s">
        <v>458</v>
      </c>
      <c r="B85" s="400"/>
    </row>
    <row r="86" spans="1:2" ht="16.5" thickBot="1">
      <c r="A86" s="402" t="s">
        <v>459</v>
      </c>
      <c r="B86" s="400"/>
    </row>
    <row r="87" spans="1:2" ht="16.5" thickBot="1">
      <c r="A87" s="402" t="s">
        <v>460</v>
      </c>
      <c r="B87" s="400"/>
    </row>
    <row r="88" spans="1:2" ht="30.75" thickBot="1">
      <c r="A88" s="307" t="s">
        <v>461</v>
      </c>
      <c r="B88" s="551" t="s">
        <v>650</v>
      </c>
    </row>
    <row r="89" spans="1:2" ht="28.5">
      <c r="A89" s="307" t="s">
        <v>462</v>
      </c>
      <c r="B89" s="1009"/>
    </row>
    <row r="90" spans="1:2" ht="15.75">
      <c r="A90" s="402" t="s">
        <v>463</v>
      </c>
      <c r="B90" s="1010"/>
    </row>
    <row r="91" spans="1:2" ht="15.75">
      <c r="A91" s="402" t="s">
        <v>464</v>
      </c>
      <c r="B91" s="1010"/>
    </row>
    <row r="92" spans="1:2" ht="15.75">
      <c r="A92" s="402" t="s">
        <v>465</v>
      </c>
      <c r="B92" s="1010"/>
    </row>
    <row r="93" spans="1:2" ht="15.75">
      <c r="A93" s="402" t="s">
        <v>466</v>
      </c>
      <c r="B93" s="1010"/>
    </row>
    <row r="94" spans="1:2" ht="16.5" thickBot="1">
      <c r="A94" s="413" t="s">
        <v>467</v>
      </c>
      <c r="B94" s="1011"/>
    </row>
    <row r="96" spans="1:2" ht="15.75">
      <c r="A96" s="308" t="s">
        <v>468</v>
      </c>
      <c r="B96" s="308"/>
    </row>
    <row r="97" ht="15.75">
      <c r="A97" s="301" t="s">
        <v>469</v>
      </c>
    </row>
    <row r="98" ht="15.75">
      <c r="A98" s="301" t="s">
        <v>470</v>
      </c>
    </row>
    <row r="99" ht="15.75">
      <c r="A99" s="301" t="s">
        <v>471</v>
      </c>
    </row>
    <row r="100" ht="15.75">
      <c r="A100" s="301" t="s">
        <v>472</v>
      </c>
    </row>
    <row r="101" ht="15.75">
      <c r="A101" s="301" t="s">
        <v>473</v>
      </c>
    </row>
    <row r="102" ht="15.75">
      <c r="A102" s="301" t="s">
        <v>474</v>
      </c>
    </row>
    <row r="103" spans="1:2" ht="15.75">
      <c r="A103" s="1012" t="s">
        <v>475</v>
      </c>
      <c r="B103" s="1012"/>
    </row>
    <row r="105" spans="1:2" ht="15.75">
      <c r="A105" s="1013" t="str">
        <f>'10 (Тиличики МДЭС-8)'!A105:B105</f>
        <v>Начальник ПТО                                                                                                         С.А.Апекин</v>
      </c>
      <c r="B105" s="1013"/>
    </row>
    <row r="106" ht="15.75">
      <c r="B106" s="309"/>
    </row>
    <row r="107" ht="15.75">
      <c r="B107" s="310"/>
    </row>
  </sheetData>
  <sheetProtection/>
  <mergeCells count="5">
    <mergeCell ref="A13:B13"/>
    <mergeCell ref="A14:B14"/>
    <mergeCell ref="B89:B94"/>
    <mergeCell ref="A103:B103"/>
    <mergeCell ref="A105:B105"/>
  </mergeCells>
  <printOptions/>
  <pageMargins left="0.7" right="0.23" top="0.75" bottom="0.32" header="0.3" footer="0.3"/>
  <pageSetup fitToHeight="2" fitToWidth="1" horizontalDpi="600" verticalDpi="600" orientation="portrait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02"/>
  <sheetViews>
    <sheetView view="pageBreakPreview" zoomScale="75" zoomScaleNormal="75" zoomScaleSheetLayoutView="75" zoomScalePageLayoutView="0" workbookViewId="0" topLeftCell="A7">
      <selection activeCell="B63" sqref="B63"/>
    </sheetView>
  </sheetViews>
  <sheetFormatPr defaultColWidth="9.00390625" defaultRowHeight="15.75"/>
  <cols>
    <col min="1" max="1" width="57.875" style="301" customWidth="1"/>
    <col min="2" max="2" width="64.50390625" style="301" customWidth="1"/>
    <col min="3" max="3" width="28.375" style="816" customWidth="1"/>
    <col min="4" max="6" width="9.00390625" style="303" customWidth="1"/>
    <col min="7" max="7" width="9.75390625" style="481" bestFit="1" customWidth="1"/>
    <col min="8" max="8" width="9.00390625" style="481" customWidth="1"/>
    <col min="9" max="16384" width="9.00390625" style="303" customWidth="1"/>
  </cols>
  <sheetData>
    <row r="1" ht="15.75">
      <c r="B1" s="302" t="s">
        <v>401</v>
      </c>
    </row>
    <row r="2" ht="15.75">
      <c r="B2" s="302" t="s">
        <v>37</v>
      </c>
    </row>
    <row r="3" ht="15.75">
      <c r="B3" s="289" t="s">
        <v>379</v>
      </c>
    </row>
    <row r="4" ht="15.75">
      <c r="B4" s="304"/>
    </row>
    <row r="5" ht="15.75">
      <c r="B5" s="2" t="s">
        <v>38</v>
      </c>
    </row>
    <row r="6" ht="15.75">
      <c r="B6" s="2" t="s">
        <v>647</v>
      </c>
    </row>
    <row r="7" ht="15.75">
      <c r="B7" s="2"/>
    </row>
    <row r="8" ht="15.75">
      <c r="B8" s="2" t="s">
        <v>648</v>
      </c>
    </row>
    <row r="9" ht="15.75">
      <c r="B9" s="2" t="s">
        <v>795</v>
      </c>
    </row>
    <row r="10" ht="15.75">
      <c r="B10" s="2" t="s">
        <v>42</v>
      </c>
    </row>
    <row r="11" ht="15.75">
      <c r="B11" s="305"/>
    </row>
    <row r="12" ht="15.75">
      <c r="B12" s="305"/>
    </row>
    <row r="13" spans="1:2" ht="30.75" customHeight="1">
      <c r="A13" s="1006" t="s">
        <v>789</v>
      </c>
      <c r="B13" s="1007"/>
    </row>
    <row r="14" spans="1:2" ht="32.25" customHeight="1">
      <c r="A14" s="1008" t="str">
        <f>'10 (ДЭС с.Средние Пахачи)'!A14:B14</f>
        <v>"Реконструкция и развитие электроснабжения АО "Корякэнерго"</v>
      </c>
      <c r="B14" s="1008"/>
    </row>
    <row r="15" ht="16.5" thickBot="1">
      <c r="B15" s="306"/>
    </row>
    <row r="16" spans="1:2" ht="36" customHeight="1" thickBot="1">
      <c r="A16" s="404" t="s">
        <v>274</v>
      </c>
      <c r="B16" s="415" t="s">
        <v>663</v>
      </c>
    </row>
    <row r="17" spans="1:2" ht="16.5" thickBot="1">
      <c r="A17" s="404" t="s">
        <v>402</v>
      </c>
      <c r="B17" s="416" t="s">
        <v>705</v>
      </c>
    </row>
    <row r="18" spans="1:2" ht="16.5" thickBot="1">
      <c r="A18" s="404" t="s">
        <v>403</v>
      </c>
      <c r="B18" s="417" t="s">
        <v>574</v>
      </c>
    </row>
    <row r="19" spans="1:2" ht="16.5" thickBot="1">
      <c r="A19" s="404" t="s">
        <v>404</v>
      </c>
      <c r="B19" s="450" t="s">
        <v>590</v>
      </c>
    </row>
    <row r="20" spans="1:2" ht="16.5" thickBot="1">
      <c r="A20" s="405" t="s">
        <v>405</v>
      </c>
      <c r="B20" s="451" t="s">
        <v>592</v>
      </c>
    </row>
    <row r="21" spans="1:4" ht="16.5" thickBot="1">
      <c r="A21" s="406" t="s">
        <v>406</v>
      </c>
      <c r="B21" s="459" t="s">
        <v>736</v>
      </c>
      <c r="D21" s="454"/>
    </row>
    <row r="22" spans="1:2" ht="16.5" thickBot="1">
      <c r="A22" s="307" t="s">
        <v>407</v>
      </c>
      <c r="B22" s="398" t="s">
        <v>408</v>
      </c>
    </row>
    <row r="23" spans="1:2" ht="30.75" thickBot="1">
      <c r="A23" s="398" t="s">
        <v>409</v>
      </c>
      <c r="B23" s="399" t="s">
        <v>652</v>
      </c>
    </row>
    <row r="24" spans="1:2" ht="60.75" thickBot="1">
      <c r="A24" s="401" t="s">
        <v>410</v>
      </c>
      <c r="B24" s="399" t="s">
        <v>408</v>
      </c>
    </row>
    <row r="25" spans="1:2" ht="60.75" thickBot="1">
      <c r="A25" s="398" t="s">
        <v>411</v>
      </c>
      <c r="B25" s="398" t="s">
        <v>408</v>
      </c>
    </row>
    <row r="26" spans="1:2" ht="16.5" thickBot="1">
      <c r="A26" s="405" t="s">
        <v>412</v>
      </c>
      <c r="B26" s="398"/>
    </row>
    <row r="27" spans="1:2" ht="30.75" thickBot="1">
      <c r="A27" s="398" t="s">
        <v>413</v>
      </c>
      <c r="B27" s="398" t="s">
        <v>408</v>
      </c>
    </row>
    <row r="28" spans="1:2" ht="16.5" thickBot="1">
      <c r="A28" s="405" t="s">
        <v>414</v>
      </c>
      <c r="B28" s="398"/>
    </row>
    <row r="29" spans="1:2" ht="30.75" thickBot="1">
      <c r="A29" s="407" t="s">
        <v>415</v>
      </c>
      <c r="B29" s="398" t="s">
        <v>408</v>
      </c>
    </row>
    <row r="30" spans="1:2" ht="16.5" thickBot="1">
      <c r="A30" s="405" t="s">
        <v>416</v>
      </c>
      <c r="B30" s="418"/>
    </row>
    <row r="31" spans="1:2" ht="16.5" thickBot="1">
      <c r="A31" s="307" t="s">
        <v>418</v>
      </c>
      <c r="B31" s="452"/>
    </row>
    <row r="32" spans="1:2" ht="18.75" customHeight="1" thickBot="1">
      <c r="A32" s="405" t="s">
        <v>419</v>
      </c>
      <c r="B32" s="431"/>
    </row>
    <row r="33" spans="1:2" ht="28.5">
      <c r="A33" s="307" t="s">
        <v>420</v>
      </c>
      <c r="B33" s="401"/>
    </row>
    <row r="34" spans="1:2" ht="45">
      <c r="A34" s="402" t="s">
        <v>421</v>
      </c>
      <c r="B34" s="402" t="s">
        <v>408</v>
      </c>
    </row>
    <row r="35" spans="1:2" ht="15.75">
      <c r="A35" s="402" t="s">
        <v>422</v>
      </c>
      <c r="B35" s="402" t="s">
        <v>408</v>
      </c>
    </row>
    <row r="36" spans="1:2" ht="15.75">
      <c r="A36" s="402" t="s">
        <v>423</v>
      </c>
      <c r="B36" s="402" t="s">
        <v>408</v>
      </c>
    </row>
    <row r="37" spans="1:2" ht="16.5" thickBot="1">
      <c r="A37" s="408" t="s">
        <v>424</v>
      </c>
      <c r="B37" s="402" t="s">
        <v>408</v>
      </c>
    </row>
    <row r="38" spans="1:2" ht="16.5" thickBot="1">
      <c r="A38" s="409" t="s">
        <v>425</v>
      </c>
      <c r="B38" s="420">
        <v>0.752314</v>
      </c>
    </row>
    <row r="39" spans="1:2" ht="16.5" thickBot="1">
      <c r="A39" s="398" t="s">
        <v>426</v>
      </c>
      <c r="B39" s="398" t="s">
        <v>427</v>
      </c>
    </row>
    <row r="40" spans="1:3" ht="29.25" thickBot="1">
      <c r="A40" s="410" t="s">
        <v>428</v>
      </c>
      <c r="B40" s="421">
        <f>B41</f>
        <v>0.8657780071</v>
      </c>
      <c r="C40" s="816" t="b">
        <f>B40='7.1'!P25</f>
        <v>1</v>
      </c>
    </row>
    <row r="41" spans="1:2" ht="29.25" thickBot="1">
      <c r="A41" s="410" t="s">
        <v>429</v>
      </c>
      <c r="B41" s="421">
        <f>B44+B54</f>
        <v>0.8657780071</v>
      </c>
    </row>
    <row r="42" spans="1:2" ht="16.5" thickBot="1">
      <c r="A42" s="399" t="s">
        <v>301</v>
      </c>
      <c r="B42" s="421"/>
    </row>
    <row r="43" spans="1:3" ht="29.25" thickBot="1">
      <c r="A43" s="410" t="s">
        <v>430</v>
      </c>
      <c r="B43" s="421" t="s">
        <v>734</v>
      </c>
      <c r="C43" s="818"/>
    </row>
    <row r="44" spans="1:2" ht="16.5" thickBot="1">
      <c r="A44" s="399" t="s">
        <v>431</v>
      </c>
      <c r="B44" s="421">
        <f>0.81864407/2</f>
        <v>0.409322035</v>
      </c>
    </row>
    <row r="45" spans="1:2" ht="16.5" thickBot="1">
      <c r="A45" s="399" t="s">
        <v>432</v>
      </c>
      <c r="B45" s="399"/>
    </row>
    <row r="46" spans="1:2" ht="16.5" thickBot="1">
      <c r="A46" s="399" t="s">
        <v>433</v>
      </c>
      <c r="B46" s="399"/>
    </row>
    <row r="47" spans="1:2" ht="16.5" thickBot="1">
      <c r="A47" s="399" t="s">
        <v>434</v>
      </c>
      <c r="B47" s="399"/>
    </row>
    <row r="48" spans="1:3" ht="29.25" thickBot="1">
      <c r="A48" s="410" t="s">
        <v>435</v>
      </c>
      <c r="B48" s="399"/>
      <c r="C48" s="818"/>
    </row>
    <row r="49" spans="1:2" ht="16.5" thickBot="1">
      <c r="A49" s="399" t="s">
        <v>431</v>
      </c>
      <c r="B49" s="421"/>
    </row>
    <row r="50" spans="1:2" ht="16.5" thickBot="1">
      <c r="A50" s="399" t="s">
        <v>432</v>
      </c>
      <c r="B50" s="398"/>
    </row>
    <row r="51" spans="1:2" ht="16.5" thickBot="1">
      <c r="A51" s="399" t="s">
        <v>433</v>
      </c>
      <c r="B51" s="398"/>
    </row>
    <row r="52" spans="1:2" ht="16.5" thickBot="1">
      <c r="A52" s="399" t="s">
        <v>434</v>
      </c>
      <c r="B52" s="398"/>
    </row>
    <row r="53" spans="1:2" ht="45.75" thickBot="1">
      <c r="A53" s="410" t="s">
        <v>436</v>
      </c>
      <c r="B53" s="414" t="s">
        <v>624</v>
      </c>
    </row>
    <row r="54" spans="1:2" ht="16.5" thickBot="1">
      <c r="A54" s="399" t="s">
        <v>431</v>
      </c>
      <c r="B54" s="421">
        <f>((1.59229826-0.81864407)*1.18)/2</f>
        <v>0.4564559721</v>
      </c>
    </row>
    <row r="55" spans="1:2" ht="16.5" thickBot="1">
      <c r="A55" s="399" t="s">
        <v>432</v>
      </c>
      <c r="B55" s="398"/>
    </row>
    <row r="56" spans="1:2" ht="16.5" thickBot="1">
      <c r="A56" s="399" t="s">
        <v>433</v>
      </c>
      <c r="B56" s="398"/>
    </row>
    <row r="57" spans="1:2" ht="16.5" thickBot="1">
      <c r="A57" s="399" t="s">
        <v>434</v>
      </c>
      <c r="B57" s="398"/>
    </row>
    <row r="58" spans="1:2" ht="29.25" thickBot="1">
      <c r="A58" s="411" t="s">
        <v>437</v>
      </c>
      <c r="B58" s="422"/>
    </row>
    <row r="59" spans="1:2" ht="16.5" thickBot="1">
      <c r="A59" s="412" t="s">
        <v>301</v>
      </c>
      <c r="B59" s="422"/>
    </row>
    <row r="60" spans="1:2" ht="16.5" thickBot="1">
      <c r="A60" s="412" t="s">
        <v>438</v>
      </c>
      <c r="B60" s="422"/>
    </row>
    <row r="61" spans="1:2" ht="16.5" thickBot="1">
      <c r="A61" s="412" t="s">
        <v>439</v>
      </c>
      <c r="B61" s="422"/>
    </row>
    <row r="62" spans="1:2" ht="16.5" thickBot="1">
      <c r="A62" s="412" t="s">
        <v>440</v>
      </c>
      <c r="B62" s="422"/>
    </row>
    <row r="63" spans="1:2" ht="16.5" thickBot="1">
      <c r="A63" s="410" t="s">
        <v>441</v>
      </c>
      <c r="B63" s="423">
        <f>B64/B40</f>
        <v>1</v>
      </c>
    </row>
    <row r="64" spans="1:2" ht="16.5" thickBot="1">
      <c r="A64" s="410" t="s">
        <v>442</v>
      </c>
      <c r="B64" s="424">
        <f>'7.1'!E25</f>
        <v>0.8657780071</v>
      </c>
    </row>
    <row r="65" spans="1:2" ht="16.5" thickBot="1">
      <c r="A65" s="410" t="s">
        <v>443</v>
      </c>
      <c r="B65" s="423">
        <f>B66/B40</f>
        <v>1</v>
      </c>
    </row>
    <row r="66" spans="1:2" ht="16.5" thickBot="1">
      <c r="A66" s="409" t="s">
        <v>444</v>
      </c>
      <c r="B66" s="425">
        <f>'7.1'!N25</f>
        <v>0.8657780071</v>
      </c>
    </row>
    <row r="67" spans="1:2" ht="15.75">
      <c r="A67" s="307" t="s">
        <v>445</v>
      </c>
      <c r="B67" s="431"/>
    </row>
    <row r="68" spans="1:2" ht="15.75">
      <c r="A68" s="402" t="s">
        <v>446</v>
      </c>
      <c r="B68" s="453" t="s">
        <v>653</v>
      </c>
    </row>
    <row r="69" spans="1:2" ht="15.75">
      <c r="A69" s="402" t="s">
        <v>447</v>
      </c>
      <c r="B69" s="453"/>
    </row>
    <row r="70" spans="1:2" ht="15.75">
      <c r="A70" s="402" t="s">
        <v>448</v>
      </c>
      <c r="B70" s="453"/>
    </row>
    <row r="71" spans="1:2" ht="15.75">
      <c r="A71" s="402" t="s">
        <v>449</v>
      </c>
      <c r="B71" s="453" t="s">
        <v>706</v>
      </c>
    </row>
    <row r="72" spans="1:2" ht="16.5" thickBot="1">
      <c r="A72" s="403" t="s">
        <v>450</v>
      </c>
      <c r="B72" s="492"/>
    </row>
    <row r="73" spans="1:2" ht="30.75" thickBot="1">
      <c r="A73" s="401" t="s">
        <v>451</v>
      </c>
      <c r="B73" s="398" t="s">
        <v>452</v>
      </c>
    </row>
    <row r="74" spans="1:2" ht="29.25" thickBot="1">
      <c r="A74" s="405" t="s">
        <v>453</v>
      </c>
      <c r="B74" s="398"/>
    </row>
    <row r="75" spans="1:2" ht="16.5" thickBot="1">
      <c r="A75" s="401" t="s">
        <v>301</v>
      </c>
      <c r="B75" s="400"/>
    </row>
    <row r="76" spans="1:2" ht="16.5" thickBot="1">
      <c r="A76" s="401" t="s">
        <v>454</v>
      </c>
      <c r="B76" s="398"/>
    </row>
    <row r="77" spans="1:2" ht="16.5" thickBot="1">
      <c r="A77" s="401" t="s">
        <v>455</v>
      </c>
      <c r="B77" s="400"/>
    </row>
    <row r="78" spans="1:2" ht="16.5" thickBot="1">
      <c r="A78" s="307" t="s">
        <v>456</v>
      </c>
      <c r="B78" s="401"/>
    </row>
    <row r="79" spans="1:2" ht="16.5" thickBot="1">
      <c r="A79" s="405" t="s">
        <v>457</v>
      </c>
      <c r="B79" s="401"/>
    </row>
    <row r="80" spans="1:2" ht="16.5" thickBot="1">
      <c r="A80" s="402" t="s">
        <v>458</v>
      </c>
      <c r="B80" s="400"/>
    </row>
    <row r="81" spans="1:2" ht="16.5" thickBot="1">
      <c r="A81" s="402" t="s">
        <v>459</v>
      </c>
      <c r="B81" s="400"/>
    </row>
    <row r="82" spans="1:2" ht="16.5" thickBot="1">
      <c r="A82" s="402" t="s">
        <v>460</v>
      </c>
      <c r="B82" s="400"/>
    </row>
    <row r="83" spans="1:2" ht="30.75" thickBot="1">
      <c r="A83" s="307" t="s">
        <v>461</v>
      </c>
      <c r="B83" s="551" t="s">
        <v>735</v>
      </c>
    </row>
    <row r="84" spans="1:2" ht="28.5">
      <c r="A84" s="307" t="s">
        <v>462</v>
      </c>
      <c r="B84" s="1009"/>
    </row>
    <row r="85" spans="1:2" ht="15.75">
      <c r="A85" s="402" t="s">
        <v>463</v>
      </c>
      <c r="B85" s="1010"/>
    </row>
    <row r="86" spans="1:2" ht="15.75">
      <c r="A86" s="402" t="s">
        <v>464</v>
      </c>
      <c r="B86" s="1010"/>
    </row>
    <row r="87" spans="1:2" ht="15.75">
      <c r="A87" s="402" t="s">
        <v>465</v>
      </c>
      <c r="B87" s="1010"/>
    </row>
    <row r="88" spans="1:2" ht="15.75">
      <c r="A88" s="402" t="s">
        <v>466</v>
      </c>
      <c r="B88" s="1010"/>
    </row>
    <row r="89" spans="1:2" ht="16.5" thickBot="1">
      <c r="A89" s="413" t="s">
        <v>467</v>
      </c>
      <c r="B89" s="1011"/>
    </row>
    <row r="91" spans="1:2" ht="15.75">
      <c r="A91" s="308" t="s">
        <v>468</v>
      </c>
      <c r="B91" s="308"/>
    </row>
    <row r="92" ht="15.75">
      <c r="A92" s="301" t="s">
        <v>469</v>
      </c>
    </row>
    <row r="93" ht="15.75">
      <c r="A93" s="301" t="s">
        <v>470</v>
      </c>
    </row>
    <row r="94" ht="15.75">
      <c r="A94" s="301" t="s">
        <v>471</v>
      </c>
    </row>
    <row r="95" ht="15.75">
      <c r="A95" s="301" t="s">
        <v>472</v>
      </c>
    </row>
    <row r="96" ht="15.75">
      <c r="A96" s="301" t="s">
        <v>473</v>
      </c>
    </row>
    <row r="97" ht="15.75">
      <c r="A97" s="301" t="s">
        <v>474</v>
      </c>
    </row>
    <row r="98" spans="1:2" ht="15.75">
      <c r="A98" s="1012" t="s">
        <v>475</v>
      </c>
      <c r="B98" s="1012"/>
    </row>
    <row r="100" spans="1:2" ht="15.75">
      <c r="A100" s="1013" t="str">
        <f>'10 (ДЭС с.Средние Пахачи)'!A105:B105</f>
        <v>Начальник ПТО                                                                                                         С.А.Апекин</v>
      </c>
      <c r="B100" s="1013"/>
    </row>
    <row r="101" ht="15.75">
      <c r="B101" s="309"/>
    </row>
    <row r="102" ht="15.75">
      <c r="B102" s="310"/>
    </row>
  </sheetData>
  <sheetProtection/>
  <mergeCells count="5">
    <mergeCell ref="A13:B13"/>
    <mergeCell ref="A14:B14"/>
    <mergeCell ref="B84:B89"/>
    <mergeCell ref="A98:B98"/>
    <mergeCell ref="A100:B10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02"/>
  <sheetViews>
    <sheetView view="pageBreakPreview" zoomScale="75" zoomScaleNormal="75" zoomScaleSheetLayoutView="75" zoomScalePageLayoutView="0" workbookViewId="0" topLeftCell="A4">
      <selection activeCell="B17" sqref="B17"/>
    </sheetView>
  </sheetViews>
  <sheetFormatPr defaultColWidth="9.00390625" defaultRowHeight="15.75"/>
  <cols>
    <col min="1" max="1" width="57.875" style="301" customWidth="1"/>
    <col min="2" max="2" width="64.50390625" style="301" customWidth="1"/>
    <col min="3" max="3" width="28.375" style="816" customWidth="1"/>
    <col min="4" max="6" width="9.00390625" style="303" customWidth="1"/>
    <col min="7" max="7" width="9.75390625" style="481" bestFit="1" customWidth="1"/>
    <col min="8" max="8" width="9.00390625" style="481" customWidth="1"/>
    <col min="9" max="16384" width="9.00390625" style="303" customWidth="1"/>
  </cols>
  <sheetData>
    <row r="1" ht="15.75">
      <c r="B1" s="302" t="s">
        <v>401</v>
      </c>
    </row>
    <row r="2" ht="15.75">
      <c r="B2" s="302" t="s">
        <v>37</v>
      </c>
    </row>
    <row r="3" ht="15.75">
      <c r="B3" s="289" t="s">
        <v>379</v>
      </c>
    </row>
    <row r="4" ht="15.75">
      <c r="B4" s="304"/>
    </row>
    <row r="5" ht="15.75">
      <c r="B5" s="2" t="s">
        <v>38</v>
      </c>
    </row>
    <row r="6" ht="15.75">
      <c r="B6" s="2" t="s">
        <v>647</v>
      </c>
    </row>
    <row r="7" ht="15.75">
      <c r="B7" s="2"/>
    </row>
    <row r="8" ht="15.75">
      <c r="B8" s="2" t="s">
        <v>648</v>
      </c>
    </row>
    <row r="9" ht="15.75">
      <c r="B9" s="2" t="s">
        <v>795</v>
      </c>
    </row>
    <row r="10" ht="15.75">
      <c r="B10" s="2" t="s">
        <v>42</v>
      </c>
    </row>
    <row r="11" ht="15.75">
      <c r="B11" s="305"/>
    </row>
    <row r="12" ht="15.75">
      <c r="B12" s="305"/>
    </row>
    <row r="13" spans="1:2" ht="30.75" customHeight="1">
      <c r="A13" s="1006" t="s">
        <v>789</v>
      </c>
      <c r="B13" s="1007"/>
    </row>
    <row r="14" spans="1:2" ht="32.25" customHeight="1">
      <c r="A14" s="1008" t="str">
        <f>'10 (ТП-2 с. Хаилино)'!A14:B14</f>
        <v>"Реконструкция и развитие электроснабжения АО "Корякэнерго"</v>
      </c>
      <c r="B14" s="1008"/>
    </row>
    <row r="15" ht="16.5" thickBot="1">
      <c r="B15" s="306"/>
    </row>
    <row r="16" spans="1:2" ht="36" customHeight="1" thickBot="1">
      <c r="A16" s="404" t="s">
        <v>274</v>
      </c>
      <c r="B16" s="415" t="s">
        <v>707</v>
      </c>
    </row>
    <row r="17" spans="1:2" ht="16.5" thickBot="1">
      <c r="A17" s="404" t="s">
        <v>402</v>
      </c>
      <c r="B17" s="416" t="s">
        <v>705</v>
      </c>
    </row>
    <row r="18" spans="1:2" ht="16.5" thickBot="1">
      <c r="A18" s="404" t="s">
        <v>403</v>
      </c>
      <c r="B18" s="417" t="s">
        <v>574</v>
      </c>
    </row>
    <row r="19" spans="1:2" ht="16.5" thickBot="1">
      <c r="A19" s="404" t="s">
        <v>404</v>
      </c>
      <c r="B19" s="450" t="s">
        <v>708</v>
      </c>
    </row>
    <row r="20" spans="1:2" ht="16.5" thickBot="1">
      <c r="A20" s="405" t="s">
        <v>405</v>
      </c>
      <c r="B20" s="451" t="s">
        <v>592</v>
      </c>
    </row>
    <row r="21" spans="1:4" ht="16.5" thickBot="1">
      <c r="A21" s="406" t="s">
        <v>406</v>
      </c>
      <c r="B21" s="459" t="s">
        <v>737</v>
      </c>
      <c r="D21" s="454"/>
    </row>
    <row r="22" spans="1:2" ht="16.5" thickBot="1">
      <c r="A22" s="307" t="s">
        <v>407</v>
      </c>
      <c r="B22" s="398" t="s">
        <v>408</v>
      </c>
    </row>
    <row r="23" spans="1:2" ht="30.75" thickBot="1">
      <c r="A23" s="398" t="s">
        <v>409</v>
      </c>
      <c r="B23" s="399" t="s">
        <v>652</v>
      </c>
    </row>
    <row r="24" spans="1:2" ht="60.75" thickBot="1">
      <c r="A24" s="401" t="s">
        <v>410</v>
      </c>
      <c r="B24" s="399" t="s">
        <v>408</v>
      </c>
    </row>
    <row r="25" spans="1:2" ht="60.75" thickBot="1">
      <c r="A25" s="398" t="s">
        <v>411</v>
      </c>
      <c r="B25" s="398" t="s">
        <v>408</v>
      </c>
    </row>
    <row r="26" spans="1:2" ht="16.5" thickBot="1">
      <c r="A26" s="405" t="s">
        <v>412</v>
      </c>
      <c r="B26" s="398"/>
    </row>
    <row r="27" spans="1:2" ht="30.75" thickBot="1">
      <c r="A27" s="398" t="s">
        <v>413</v>
      </c>
      <c r="B27" s="398" t="s">
        <v>408</v>
      </c>
    </row>
    <row r="28" spans="1:2" ht="16.5" thickBot="1">
      <c r="A28" s="405" t="s">
        <v>414</v>
      </c>
      <c r="B28" s="398"/>
    </row>
    <row r="29" spans="1:2" ht="30.75" thickBot="1">
      <c r="A29" s="407" t="s">
        <v>415</v>
      </c>
      <c r="B29" s="398" t="s">
        <v>408</v>
      </c>
    </row>
    <row r="30" spans="1:2" ht="16.5" thickBot="1">
      <c r="A30" s="405" t="s">
        <v>416</v>
      </c>
      <c r="B30" s="418"/>
    </row>
    <row r="31" spans="1:2" ht="16.5" thickBot="1">
      <c r="A31" s="307" t="s">
        <v>418</v>
      </c>
      <c r="B31" s="452"/>
    </row>
    <row r="32" spans="1:2" ht="18.75" customHeight="1" thickBot="1">
      <c r="A32" s="405" t="s">
        <v>419</v>
      </c>
      <c r="B32" s="431"/>
    </row>
    <row r="33" spans="1:2" ht="28.5">
      <c r="A33" s="307" t="s">
        <v>420</v>
      </c>
      <c r="B33" s="401"/>
    </row>
    <row r="34" spans="1:2" ht="45">
      <c r="A34" s="402" t="s">
        <v>421</v>
      </c>
      <c r="B34" s="402" t="s">
        <v>408</v>
      </c>
    </row>
    <row r="35" spans="1:2" ht="15.75">
      <c r="A35" s="402" t="s">
        <v>422</v>
      </c>
      <c r="B35" s="402" t="s">
        <v>408</v>
      </c>
    </row>
    <row r="36" spans="1:2" ht="15.75">
      <c r="A36" s="402" t="s">
        <v>423</v>
      </c>
      <c r="B36" s="402" t="s">
        <v>408</v>
      </c>
    </row>
    <row r="37" spans="1:2" ht="16.5" thickBot="1">
      <c r="A37" s="408" t="s">
        <v>424</v>
      </c>
      <c r="B37" s="402" t="s">
        <v>408</v>
      </c>
    </row>
    <row r="38" spans="1:2" ht="16.5" thickBot="1">
      <c r="A38" s="409" t="s">
        <v>425</v>
      </c>
      <c r="B38" s="420">
        <v>1.113927</v>
      </c>
    </row>
    <row r="39" spans="1:2" ht="16.5" thickBot="1">
      <c r="A39" s="398" t="s">
        <v>426</v>
      </c>
      <c r="B39" s="398" t="s">
        <v>427</v>
      </c>
    </row>
    <row r="40" spans="1:3" ht="29.25" thickBot="1">
      <c r="A40" s="410" t="s">
        <v>428</v>
      </c>
      <c r="B40" s="421">
        <f>B41</f>
        <v>0.8657780071</v>
      </c>
      <c r="C40" s="816" t="b">
        <f>B40='7.1'!P26</f>
        <v>1</v>
      </c>
    </row>
    <row r="41" spans="1:2" ht="29.25" thickBot="1">
      <c r="A41" s="410" t="s">
        <v>429</v>
      </c>
      <c r="B41" s="421">
        <f>B44+B54</f>
        <v>0.8657780071</v>
      </c>
    </row>
    <row r="42" spans="1:2" ht="16.5" thickBot="1">
      <c r="A42" s="399" t="s">
        <v>301</v>
      </c>
      <c r="B42" s="421"/>
    </row>
    <row r="43" spans="1:3" ht="29.25" thickBot="1">
      <c r="A43" s="410" t="s">
        <v>430</v>
      </c>
      <c r="B43" s="421" t="s">
        <v>734</v>
      </c>
      <c r="C43" s="818"/>
    </row>
    <row r="44" spans="1:2" ht="16.5" thickBot="1">
      <c r="A44" s="399" t="s">
        <v>431</v>
      </c>
      <c r="B44" s="421">
        <f>0.81864407/2</f>
        <v>0.409322035</v>
      </c>
    </row>
    <row r="45" spans="1:2" ht="16.5" thickBot="1">
      <c r="A45" s="399" t="s">
        <v>432</v>
      </c>
      <c r="B45" s="399"/>
    </row>
    <row r="46" spans="1:2" ht="16.5" thickBot="1">
      <c r="A46" s="399" t="s">
        <v>433</v>
      </c>
      <c r="B46" s="399"/>
    </row>
    <row r="47" spans="1:2" ht="16.5" thickBot="1">
      <c r="A47" s="399" t="s">
        <v>434</v>
      </c>
      <c r="B47" s="399"/>
    </row>
    <row r="48" spans="1:3" ht="29.25" thickBot="1">
      <c r="A48" s="410" t="s">
        <v>435</v>
      </c>
      <c r="B48" s="399"/>
      <c r="C48" s="818"/>
    </row>
    <row r="49" spans="1:2" ht="16.5" thickBot="1">
      <c r="A49" s="399" t="s">
        <v>431</v>
      </c>
      <c r="B49" s="421"/>
    </row>
    <row r="50" spans="1:2" ht="16.5" thickBot="1">
      <c r="A50" s="399" t="s">
        <v>432</v>
      </c>
      <c r="B50" s="398"/>
    </row>
    <row r="51" spans="1:2" ht="16.5" thickBot="1">
      <c r="A51" s="399" t="s">
        <v>433</v>
      </c>
      <c r="B51" s="398"/>
    </row>
    <row r="52" spans="1:2" ht="16.5" thickBot="1">
      <c r="A52" s="399" t="s">
        <v>434</v>
      </c>
      <c r="B52" s="398"/>
    </row>
    <row r="53" spans="1:2" ht="45.75" thickBot="1">
      <c r="A53" s="410" t="s">
        <v>436</v>
      </c>
      <c r="B53" s="414" t="s">
        <v>624</v>
      </c>
    </row>
    <row r="54" spans="1:2" ht="16.5" thickBot="1">
      <c r="A54" s="399" t="s">
        <v>431</v>
      </c>
      <c r="B54" s="421">
        <f>((1.59229826-0.81864407)*1.18)/2</f>
        <v>0.4564559721</v>
      </c>
    </row>
    <row r="55" spans="1:2" ht="16.5" thickBot="1">
      <c r="A55" s="399" t="s">
        <v>432</v>
      </c>
      <c r="B55" s="398"/>
    </row>
    <row r="56" spans="1:2" ht="16.5" thickBot="1">
      <c r="A56" s="399" t="s">
        <v>433</v>
      </c>
      <c r="B56" s="398"/>
    </row>
    <row r="57" spans="1:2" ht="16.5" thickBot="1">
      <c r="A57" s="399" t="s">
        <v>434</v>
      </c>
      <c r="B57" s="398"/>
    </row>
    <row r="58" spans="1:2" ht="29.25" thickBot="1">
      <c r="A58" s="411" t="s">
        <v>437</v>
      </c>
      <c r="B58" s="422"/>
    </row>
    <row r="59" spans="1:2" ht="16.5" thickBot="1">
      <c r="A59" s="412" t="s">
        <v>301</v>
      </c>
      <c r="B59" s="422"/>
    </row>
    <row r="60" spans="1:2" ht="16.5" thickBot="1">
      <c r="A60" s="412" t="s">
        <v>438</v>
      </c>
      <c r="B60" s="422"/>
    </row>
    <row r="61" spans="1:2" ht="16.5" thickBot="1">
      <c r="A61" s="412" t="s">
        <v>439</v>
      </c>
      <c r="B61" s="422"/>
    </row>
    <row r="62" spans="1:2" ht="16.5" thickBot="1">
      <c r="A62" s="412" t="s">
        <v>440</v>
      </c>
      <c r="B62" s="422"/>
    </row>
    <row r="63" spans="1:2" ht="16.5" thickBot="1">
      <c r="A63" s="410" t="s">
        <v>441</v>
      </c>
      <c r="B63" s="423">
        <f>B64/B40</f>
        <v>1</v>
      </c>
    </row>
    <row r="64" spans="1:2" ht="16.5" thickBot="1">
      <c r="A64" s="410" t="s">
        <v>442</v>
      </c>
      <c r="B64" s="424">
        <f>'7.1'!E26</f>
        <v>0.8657780071</v>
      </c>
    </row>
    <row r="65" spans="1:2" ht="16.5" thickBot="1">
      <c r="A65" s="410" t="s">
        <v>443</v>
      </c>
      <c r="B65" s="423">
        <f>B66/B40</f>
        <v>1</v>
      </c>
    </row>
    <row r="66" spans="1:2" ht="16.5" thickBot="1">
      <c r="A66" s="409" t="s">
        <v>444</v>
      </c>
      <c r="B66" s="425">
        <f>'7.1'!N26</f>
        <v>0.8657780071</v>
      </c>
    </row>
    <row r="67" spans="1:2" ht="15.75">
      <c r="A67" s="307" t="s">
        <v>445</v>
      </c>
      <c r="B67" s="431"/>
    </row>
    <row r="68" spans="1:2" ht="15.75">
      <c r="A68" s="402" t="s">
        <v>446</v>
      </c>
      <c r="B68" s="453" t="s">
        <v>653</v>
      </c>
    </row>
    <row r="69" spans="1:2" ht="15.75">
      <c r="A69" s="402" t="s">
        <v>447</v>
      </c>
      <c r="B69" s="453"/>
    </row>
    <row r="70" spans="1:2" ht="15.75">
      <c r="A70" s="402" t="s">
        <v>448</v>
      </c>
      <c r="B70" s="453"/>
    </row>
    <row r="71" spans="1:2" ht="15.75">
      <c r="A71" s="402" t="s">
        <v>449</v>
      </c>
      <c r="B71" s="453" t="s">
        <v>706</v>
      </c>
    </row>
    <row r="72" spans="1:2" ht="16.5" thickBot="1">
      <c r="A72" s="403" t="s">
        <v>450</v>
      </c>
      <c r="B72" s="492"/>
    </row>
    <row r="73" spans="1:2" ht="30.75" thickBot="1">
      <c r="A73" s="401" t="s">
        <v>451</v>
      </c>
      <c r="B73" s="398" t="s">
        <v>452</v>
      </c>
    </row>
    <row r="74" spans="1:2" ht="29.25" thickBot="1">
      <c r="A74" s="405" t="s">
        <v>453</v>
      </c>
      <c r="B74" s="398"/>
    </row>
    <row r="75" spans="1:2" ht="16.5" thickBot="1">
      <c r="A75" s="401" t="s">
        <v>301</v>
      </c>
      <c r="B75" s="400"/>
    </row>
    <row r="76" spans="1:2" ht="16.5" thickBot="1">
      <c r="A76" s="401" t="s">
        <v>454</v>
      </c>
      <c r="B76" s="398"/>
    </row>
    <row r="77" spans="1:2" ht="16.5" thickBot="1">
      <c r="A77" s="401" t="s">
        <v>455</v>
      </c>
      <c r="B77" s="400"/>
    </row>
    <row r="78" spans="1:2" ht="16.5" thickBot="1">
      <c r="A78" s="307" t="s">
        <v>456</v>
      </c>
      <c r="B78" s="401"/>
    </row>
    <row r="79" spans="1:2" ht="16.5" thickBot="1">
      <c r="A79" s="405" t="s">
        <v>457</v>
      </c>
      <c r="B79" s="401"/>
    </row>
    <row r="80" spans="1:2" ht="16.5" thickBot="1">
      <c r="A80" s="402" t="s">
        <v>458</v>
      </c>
      <c r="B80" s="400"/>
    </row>
    <row r="81" spans="1:2" ht="16.5" thickBot="1">
      <c r="A81" s="402" t="s">
        <v>459</v>
      </c>
      <c r="B81" s="400"/>
    </row>
    <row r="82" spans="1:2" ht="16.5" thickBot="1">
      <c r="A82" s="402" t="s">
        <v>460</v>
      </c>
      <c r="B82" s="400"/>
    </row>
    <row r="83" spans="1:2" ht="30.75" thickBot="1">
      <c r="A83" s="307" t="s">
        <v>461</v>
      </c>
      <c r="B83" s="551" t="s">
        <v>735</v>
      </c>
    </row>
    <row r="84" spans="1:2" ht="28.5">
      <c r="A84" s="307" t="s">
        <v>462</v>
      </c>
      <c r="B84" s="1009"/>
    </row>
    <row r="85" spans="1:2" ht="15.75">
      <c r="A85" s="402" t="s">
        <v>463</v>
      </c>
      <c r="B85" s="1010"/>
    </row>
    <row r="86" spans="1:2" ht="15.75">
      <c r="A86" s="402" t="s">
        <v>464</v>
      </c>
      <c r="B86" s="1010"/>
    </row>
    <row r="87" spans="1:2" ht="15.75">
      <c r="A87" s="402" t="s">
        <v>465</v>
      </c>
      <c r="B87" s="1010"/>
    </row>
    <row r="88" spans="1:2" ht="15.75">
      <c r="A88" s="402" t="s">
        <v>466</v>
      </c>
      <c r="B88" s="1010"/>
    </row>
    <row r="89" spans="1:2" ht="16.5" thickBot="1">
      <c r="A89" s="413" t="s">
        <v>467</v>
      </c>
      <c r="B89" s="1011"/>
    </row>
    <row r="91" spans="1:2" ht="15.75">
      <c r="A91" s="308" t="s">
        <v>468</v>
      </c>
      <c r="B91" s="308"/>
    </row>
    <row r="92" ht="15.75">
      <c r="A92" s="301" t="s">
        <v>469</v>
      </c>
    </row>
    <row r="93" ht="15.75">
      <c r="A93" s="301" t="s">
        <v>470</v>
      </c>
    </row>
    <row r="94" ht="15.75">
      <c r="A94" s="301" t="s">
        <v>471</v>
      </c>
    </row>
    <row r="95" ht="15.75">
      <c r="A95" s="301" t="s">
        <v>472</v>
      </c>
    </row>
    <row r="96" ht="15.75">
      <c r="A96" s="301" t="s">
        <v>473</v>
      </c>
    </row>
    <row r="97" ht="15.75">
      <c r="A97" s="301" t="s">
        <v>474</v>
      </c>
    </row>
    <row r="98" spans="1:2" ht="15.75">
      <c r="A98" s="1012" t="s">
        <v>475</v>
      </c>
      <c r="B98" s="1012"/>
    </row>
    <row r="100" spans="1:2" ht="15.75">
      <c r="A100" s="1013" t="str">
        <f>'10 (ТП-2 с. Хаилино)'!A100:B100</f>
        <v>Начальник ПТО                                                                                                         С.А.Апекин</v>
      </c>
      <c r="B100" s="1013"/>
    </row>
    <row r="101" ht="15.75">
      <c r="B101" s="309"/>
    </row>
    <row r="102" ht="15.75">
      <c r="B102" s="310"/>
    </row>
  </sheetData>
  <sheetProtection/>
  <mergeCells count="5">
    <mergeCell ref="A13:B13"/>
    <mergeCell ref="A14:B14"/>
    <mergeCell ref="B84:B89"/>
    <mergeCell ref="A98:B98"/>
    <mergeCell ref="A100:B10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02"/>
  <sheetViews>
    <sheetView view="pageBreakPreview" zoomScale="75" zoomScaleNormal="75" zoomScaleSheetLayoutView="75" zoomScalePageLayoutView="0" workbookViewId="0" topLeftCell="A58">
      <selection activeCell="C18" sqref="C18"/>
    </sheetView>
  </sheetViews>
  <sheetFormatPr defaultColWidth="9.00390625" defaultRowHeight="15.75"/>
  <cols>
    <col min="1" max="1" width="57.875" style="301" customWidth="1"/>
    <col min="2" max="2" width="64.50390625" style="301" customWidth="1"/>
    <col min="3" max="3" width="28.375" style="816" customWidth="1"/>
    <col min="4" max="6" width="9.00390625" style="303" customWidth="1"/>
    <col min="7" max="7" width="9.75390625" style="481" bestFit="1" customWidth="1"/>
    <col min="8" max="8" width="9.00390625" style="481" customWidth="1"/>
    <col min="9" max="16384" width="9.00390625" style="303" customWidth="1"/>
  </cols>
  <sheetData>
    <row r="1" ht="15.75">
      <c r="B1" s="302" t="s">
        <v>401</v>
      </c>
    </row>
    <row r="2" ht="15.75">
      <c r="B2" s="302" t="s">
        <v>37</v>
      </c>
    </row>
    <row r="3" ht="15.75">
      <c r="B3" s="289" t="s">
        <v>379</v>
      </c>
    </row>
    <row r="4" ht="15.75">
      <c r="B4" s="304"/>
    </row>
    <row r="5" ht="15.75">
      <c r="B5" s="2" t="s">
        <v>38</v>
      </c>
    </row>
    <row r="6" ht="15.75">
      <c r="B6" s="2" t="s">
        <v>647</v>
      </c>
    </row>
    <row r="7" ht="15.75">
      <c r="B7" s="2"/>
    </row>
    <row r="8" ht="15.75">
      <c r="B8" s="2" t="s">
        <v>648</v>
      </c>
    </row>
    <row r="9" ht="15.75">
      <c r="B9" s="2" t="s">
        <v>795</v>
      </c>
    </row>
    <row r="10" ht="15.75">
      <c r="B10" s="2" t="s">
        <v>42</v>
      </c>
    </row>
    <row r="11" ht="15.75">
      <c r="B11" s="305"/>
    </row>
    <row r="12" ht="15.75">
      <c r="B12" s="305"/>
    </row>
    <row r="13" spans="1:2" ht="30.75" customHeight="1">
      <c r="A13" s="1006" t="s">
        <v>789</v>
      </c>
      <c r="B13" s="1007"/>
    </row>
    <row r="14" spans="1:2" ht="32.25" customHeight="1">
      <c r="A14" s="1008" t="str">
        <f>'10 (ТП-2 с. Хаилино)'!A14:B14</f>
        <v>"Реконструкция и развитие электроснабжения АО "Корякэнерго"</v>
      </c>
      <c r="B14" s="1008"/>
    </row>
    <row r="15" ht="16.5" thickBot="1">
      <c r="B15" s="306"/>
    </row>
    <row r="16" spans="1:2" ht="36" customHeight="1" thickBot="1">
      <c r="A16" s="404" t="s">
        <v>274</v>
      </c>
      <c r="B16" s="821" t="str">
        <f>'7.1'!B28</f>
        <v>Снегоход Arctic Cat с.Ильпырское</v>
      </c>
    </row>
    <row r="17" spans="1:2" ht="16.5" thickBot="1">
      <c r="A17" s="404" t="s">
        <v>402</v>
      </c>
      <c r="B17" s="416" t="s">
        <v>738</v>
      </c>
    </row>
    <row r="18" spans="1:2" ht="16.5" thickBot="1">
      <c r="A18" s="404" t="s">
        <v>403</v>
      </c>
      <c r="B18" s="417"/>
    </row>
    <row r="19" spans="1:2" ht="16.5" thickBot="1">
      <c r="A19" s="404" t="s">
        <v>404</v>
      </c>
      <c r="B19" s="450"/>
    </row>
    <row r="20" spans="1:2" ht="16.5" thickBot="1">
      <c r="A20" s="688" t="s">
        <v>405</v>
      </c>
      <c r="B20" s="451" t="s">
        <v>592</v>
      </c>
    </row>
    <row r="21" spans="1:4" ht="16.5" thickBot="1">
      <c r="A21" s="820" t="s">
        <v>406</v>
      </c>
      <c r="B21" s="459" t="s">
        <v>744</v>
      </c>
      <c r="D21" s="454"/>
    </row>
    <row r="22" spans="1:2" ht="16.5" thickBot="1">
      <c r="A22" s="307" t="s">
        <v>407</v>
      </c>
      <c r="B22" s="398"/>
    </row>
    <row r="23" spans="1:2" ht="30.75" thickBot="1">
      <c r="A23" s="398" t="s">
        <v>409</v>
      </c>
      <c r="B23" s="399"/>
    </row>
    <row r="24" spans="1:2" ht="60.75" thickBot="1">
      <c r="A24" s="401" t="s">
        <v>410</v>
      </c>
      <c r="B24" s="399"/>
    </row>
    <row r="25" spans="1:2" ht="60.75" thickBot="1">
      <c r="A25" s="398" t="s">
        <v>411</v>
      </c>
      <c r="B25" s="398"/>
    </row>
    <row r="26" spans="1:2" ht="16.5" thickBot="1">
      <c r="A26" s="405" t="s">
        <v>412</v>
      </c>
      <c r="B26" s="398"/>
    </row>
    <row r="27" spans="1:2" ht="30.75" thickBot="1">
      <c r="A27" s="398" t="s">
        <v>413</v>
      </c>
      <c r="B27" s="398"/>
    </row>
    <row r="28" spans="1:2" ht="16.5" thickBot="1">
      <c r="A28" s="405" t="s">
        <v>414</v>
      </c>
      <c r="B28" s="398"/>
    </row>
    <row r="29" spans="1:2" ht="30.75" thickBot="1">
      <c r="A29" s="407" t="s">
        <v>415</v>
      </c>
      <c r="B29" s="398"/>
    </row>
    <row r="30" spans="1:2" ht="16.5" thickBot="1">
      <c r="A30" s="405" t="s">
        <v>416</v>
      </c>
      <c r="B30" s="418"/>
    </row>
    <row r="31" spans="1:2" ht="16.5" thickBot="1">
      <c r="A31" s="307" t="s">
        <v>418</v>
      </c>
      <c r="B31" s="452"/>
    </row>
    <row r="32" spans="1:2" ht="18.75" customHeight="1" thickBot="1">
      <c r="A32" s="405" t="s">
        <v>419</v>
      </c>
      <c r="B32" s="431"/>
    </row>
    <row r="33" spans="1:2" ht="28.5">
      <c r="A33" s="307" t="s">
        <v>420</v>
      </c>
      <c r="B33" s="401"/>
    </row>
    <row r="34" spans="1:2" ht="45">
      <c r="A34" s="402" t="s">
        <v>421</v>
      </c>
      <c r="B34" s="402"/>
    </row>
    <row r="35" spans="1:2" ht="15.75">
      <c r="A35" s="402" t="s">
        <v>422</v>
      </c>
      <c r="B35" s="402"/>
    </row>
    <row r="36" spans="1:2" ht="15.75">
      <c r="A36" s="402" t="s">
        <v>423</v>
      </c>
      <c r="B36" s="402"/>
    </row>
    <row r="37" spans="1:2" ht="16.5" thickBot="1">
      <c r="A37" s="408" t="s">
        <v>424</v>
      </c>
      <c r="B37" s="402"/>
    </row>
    <row r="38" spans="1:2" ht="16.5" thickBot="1">
      <c r="A38" s="409" t="s">
        <v>425</v>
      </c>
      <c r="B38" s="420">
        <v>0.6</v>
      </c>
    </row>
    <row r="39" spans="1:2" ht="16.5" thickBot="1">
      <c r="A39" s="398" t="s">
        <v>426</v>
      </c>
      <c r="B39" s="398"/>
    </row>
    <row r="40" spans="1:2" ht="29.25" thickBot="1">
      <c r="A40" s="410" t="s">
        <v>428</v>
      </c>
      <c r="B40" s="421">
        <f>B41</f>
        <v>0.70578254</v>
      </c>
    </row>
    <row r="41" spans="1:2" ht="29.25" thickBot="1">
      <c r="A41" s="410" t="s">
        <v>429</v>
      </c>
      <c r="B41" s="421">
        <f>B44+B54</f>
        <v>0.70578254</v>
      </c>
    </row>
    <row r="42" spans="1:2" ht="16.5" thickBot="1">
      <c r="A42" s="399" t="s">
        <v>301</v>
      </c>
      <c r="B42" s="421"/>
    </row>
    <row r="43" spans="1:3" ht="29.25" thickBot="1">
      <c r="A43" s="410" t="s">
        <v>430</v>
      </c>
      <c r="B43" s="421"/>
      <c r="C43" s="818"/>
    </row>
    <row r="44" spans="1:2" ht="16.5" thickBot="1">
      <c r="A44" s="399" t="s">
        <v>431</v>
      </c>
      <c r="B44" s="421"/>
    </row>
    <row r="45" spans="1:2" ht="16.5" thickBot="1">
      <c r="A45" s="399" t="s">
        <v>432</v>
      </c>
      <c r="B45" s="399"/>
    </row>
    <row r="46" spans="1:2" ht="16.5" thickBot="1">
      <c r="A46" s="399" t="s">
        <v>433</v>
      </c>
      <c r="B46" s="399"/>
    </row>
    <row r="47" spans="1:2" ht="16.5" thickBot="1">
      <c r="A47" s="399" t="s">
        <v>434</v>
      </c>
      <c r="B47" s="399"/>
    </row>
    <row r="48" spans="1:3" ht="29.25" thickBot="1">
      <c r="A48" s="410" t="s">
        <v>435</v>
      </c>
      <c r="B48" s="399"/>
      <c r="C48" s="818"/>
    </row>
    <row r="49" spans="1:2" ht="16.5" thickBot="1">
      <c r="A49" s="399" t="s">
        <v>431</v>
      </c>
      <c r="B49" s="421"/>
    </row>
    <row r="50" spans="1:2" ht="16.5" thickBot="1">
      <c r="A50" s="399" t="s">
        <v>432</v>
      </c>
      <c r="B50" s="398"/>
    </row>
    <row r="51" spans="1:2" ht="16.5" thickBot="1">
      <c r="A51" s="399" t="s">
        <v>433</v>
      </c>
      <c r="B51" s="398"/>
    </row>
    <row r="52" spans="1:2" ht="16.5" thickBot="1">
      <c r="A52" s="399" t="s">
        <v>434</v>
      </c>
      <c r="B52" s="398"/>
    </row>
    <row r="53" spans="1:2" ht="29.25" thickBot="1">
      <c r="A53" s="410" t="s">
        <v>436</v>
      </c>
      <c r="B53" s="421" t="s">
        <v>739</v>
      </c>
    </row>
    <row r="54" spans="1:2" ht="16.5" thickBot="1">
      <c r="A54" s="399" t="s">
        <v>431</v>
      </c>
      <c r="B54" s="421">
        <v>0.70578254</v>
      </c>
    </row>
    <row r="55" spans="1:2" ht="16.5" thickBot="1">
      <c r="A55" s="399" t="s">
        <v>432</v>
      </c>
      <c r="B55" s="398"/>
    </row>
    <row r="56" spans="1:2" ht="16.5" thickBot="1">
      <c r="A56" s="399" t="s">
        <v>433</v>
      </c>
      <c r="B56" s="398"/>
    </row>
    <row r="57" spans="1:2" ht="16.5" thickBot="1">
      <c r="A57" s="399" t="s">
        <v>434</v>
      </c>
      <c r="B57" s="398"/>
    </row>
    <row r="58" spans="1:2" ht="29.25" thickBot="1">
      <c r="A58" s="411" t="s">
        <v>437</v>
      </c>
      <c r="B58" s="422"/>
    </row>
    <row r="59" spans="1:2" ht="16.5" thickBot="1">
      <c r="A59" s="412" t="s">
        <v>301</v>
      </c>
      <c r="B59" s="422"/>
    </row>
    <row r="60" spans="1:2" ht="16.5" thickBot="1">
      <c r="A60" s="412" t="s">
        <v>438</v>
      </c>
      <c r="B60" s="422"/>
    </row>
    <row r="61" spans="1:2" ht="16.5" thickBot="1">
      <c r="A61" s="412" t="s">
        <v>439</v>
      </c>
      <c r="B61" s="422"/>
    </row>
    <row r="62" spans="1:2" ht="16.5" thickBot="1">
      <c r="A62" s="412" t="s">
        <v>440</v>
      </c>
      <c r="B62" s="422"/>
    </row>
    <row r="63" spans="1:2" ht="16.5" thickBot="1">
      <c r="A63" s="410" t="s">
        <v>441</v>
      </c>
      <c r="B63" s="423">
        <f>B64/B38</f>
        <v>0.7238569666666667</v>
      </c>
    </row>
    <row r="64" spans="1:2" ht="16.5" thickBot="1">
      <c r="A64" s="410" t="s">
        <v>442</v>
      </c>
      <c r="B64" s="424">
        <f>'7.1'!E28</f>
        <v>0.43431418</v>
      </c>
    </row>
    <row r="65" spans="1:2" ht="16.5" thickBot="1">
      <c r="A65" s="410" t="s">
        <v>443</v>
      </c>
      <c r="B65" s="423">
        <f>B66/B38</f>
        <v>0.7238569776666667</v>
      </c>
    </row>
    <row r="66" spans="1:2" ht="16.5" thickBot="1">
      <c r="A66" s="409" t="s">
        <v>444</v>
      </c>
      <c r="B66" s="425">
        <f>'7.1'!N28</f>
        <v>0.4343141866</v>
      </c>
    </row>
    <row r="67" spans="1:2" ht="15.75">
      <c r="A67" s="307" t="s">
        <v>445</v>
      </c>
      <c r="B67" s="431"/>
    </row>
    <row r="68" spans="1:2" ht="15.75">
      <c r="A68" s="402" t="s">
        <v>446</v>
      </c>
      <c r="B68" s="453"/>
    </row>
    <row r="69" spans="1:2" ht="15.75">
      <c r="A69" s="402" t="s">
        <v>447</v>
      </c>
      <c r="B69" s="453"/>
    </row>
    <row r="70" spans="1:2" ht="15.75">
      <c r="A70" s="402" t="s">
        <v>448</v>
      </c>
      <c r="B70" s="453"/>
    </row>
    <row r="71" spans="1:2" ht="15.75">
      <c r="A71" s="402" t="s">
        <v>449</v>
      </c>
      <c r="B71" s="453"/>
    </row>
    <row r="72" spans="1:2" ht="16.5" thickBot="1">
      <c r="A72" s="403" t="s">
        <v>450</v>
      </c>
      <c r="B72" s="492"/>
    </row>
    <row r="73" spans="1:2" ht="30.75" thickBot="1">
      <c r="A73" s="401" t="s">
        <v>451</v>
      </c>
      <c r="B73" s="398"/>
    </row>
    <row r="74" spans="1:2" ht="29.25" thickBot="1">
      <c r="A74" s="405" t="s">
        <v>453</v>
      </c>
      <c r="B74" s="398"/>
    </row>
    <row r="75" spans="1:2" ht="16.5" thickBot="1">
      <c r="A75" s="401" t="s">
        <v>301</v>
      </c>
      <c r="B75" s="400"/>
    </row>
    <row r="76" spans="1:2" ht="16.5" thickBot="1">
      <c r="A76" s="401" t="s">
        <v>454</v>
      </c>
      <c r="B76" s="398"/>
    </row>
    <row r="77" spans="1:2" ht="16.5" thickBot="1">
      <c r="A77" s="401" t="s">
        <v>455</v>
      </c>
      <c r="B77" s="400"/>
    </row>
    <row r="78" spans="1:2" ht="16.5" thickBot="1">
      <c r="A78" s="307" t="s">
        <v>456</v>
      </c>
      <c r="B78" s="401"/>
    </row>
    <row r="79" spans="1:2" ht="16.5" thickBot="1">
      <c r="A79" s="405" t="s">
        <v>457</v>
      </c>
      <c r="B79" s="401"/>
    </row>
    <row r="80" spans="1:2" ht="16.5" thickBot="1">
      <c r="A80" s="402" t="s">
        <v>458</v>
      </c>
      <c r="B80" s="400"/>
    </row>
    <row r="81" spans="1:2" ht="16.5" thickBot="1">
      <c r="A81" s="402" t="s">
        <v>459</v>
      </c>
      <c r="B81" s="400"/>
    </row>
    <row r="82" spans="1:2" ht="16.5" thickBot="1">
      <c r="A82" s="402" t="s">
        <v>460</v>
      </c>
      <c r="B82" s="400"/>
    </row>
    <row r="83" spans="1:2" ht="29.25" thickBot="1">
      <c r="A83" s="819" t="s">
        <v>461</v>
      </c>
      <c r="B83" s="551"/>
    </row>
    <row r="84" spans="1:2" ht="28.5">
      <c r="A84" s="307" t="s">
        <v>462</v>
      </c>
      <c r="B84" s="1009"/>
    </row>
    <row r="85" spans="1:2" ht="15.75">
      <c r="A85" s="402" t="s">
        <v>463</v>
      </c>
      <c r="B85" s="1010"/>
    </row>
    <row r="86" spans="1:2" ht="15.75">
      <c r="A86" s="402" t="s">
        <v>464</v>
      </c>
      <c r="B86" s="1010"/>
    </row>
    <row r="87" spans="1:2" ht="15.75">
      <c r="A87" s="402" t="s">
        <v>465</v>
      </c>
      <c r="B87" s="1010"/>
    </row>
    <row r="88" spans="1:2" ht="15.75">
      <c r="A88" s="402" t="s">
        <v>466</v>
      </c>
      <c r="B88" s="1010"/>
    </row>
    <row r="89" spans="1:2" ht="16.5" thickBot="1">
      <c r="A89" s="413" t="s">
        <v>467</v>
      </c>
      <c r="B89" s="1011"/>
    </row>
    <row r="91" spans="1:2" ht="15.75">
      <c r="A91" s="308" t="s">
        <v>468</v>
      </c>
      <c r="B91" s="308"/>
    </row>
    <row r="92" ht="15.75">
      <c r="A92" s="301" t="s">
        <v>469</v>
      </c>
    </row>
    <row r="93" ht="15.75">
      <c r="A93" s="301" t="s">
        <v>470</v>
      </c>
    </row>
    <row r="94" ht="15.75">
      <c r="A94" s="301" t="s">
        <v>471</v>
      </c>
    </row>
    <row r="95" ht="15.75">
      <c r="A95" s="301" t="s">
        <v>472</v>
      </c>
    </row>
    <row r="96" ht="15.75">
      <c r="A96" s="301" t="s">
        <v>473</v>
      </c>
    </row>
    <row r="97" ht="15.75">
      <c r="A97" s="301" t="s">
        <v>474</v>
      </c>
    </row>
    <row r="98" spans="1:2" ht="15.75">
      <c r="A98" s="1012" t="s">
        <v>475</v>
      </c>
      <c r="B98" s="1012"/>
    </row>
    <row r="100" spans="1:2" ht="15.75">
      <c r="A100" s="1013" t="str">
        <f>8!A52:M52</f>
        <v>Заместитель генерального директора по экономике, финансам и сбыту                                                                                                        Е.Ю.Лукьяненко</v>
      </c>
      <c r="B100" s="1013"/>
    </row>
    <row r="101" ht="15.75">
      <c r="B101" s="309"/>
    </row>
    <row r="102" ht="15.75">
      <c r="B102" s="310"/>
    </row>
  </sheetData>
  <sheetProtection/>
  <mergeCells count="5">
    <mergeCell ref="A13:B13"/>
    <mergeCell ref="A14:B14"/>
    <mergeCell ref="B84:B89"/>
    <mergeCell ref="A98:B98"/>
    <mergeCell ref="A100:B10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02"/>
  <sheetViews>
    <sheetView view="pageBreakPreview" zoomScale="75" zoomScaleNormal="75" zoomScaleSheetLayoutView="75" zoomScalePageLayoutView="0" workbookViewId="0" topLeftCell="A7">
      <selection activeCell="B35" sqref="B35"/>
    </sheetView>
  </sheetViews>
  <sheetFormatPr defaultColWidth="9.00390625" defaultRowHeight="15.75"/>
  <cols>
    <col min="1" max="1" width="57.875" style="301" customWidth="1"/>
    <col min="2" max="2" width="64.50390625" style="301" customWidth="1"/>
    <col min="3" max="3" width="28.375" style="816" customWidth="1"/>
    <col min="4" max="6" width="9.00390625" style="303" customWidth="1"/>
    <col min="7" max="7" width="9.75390625" style="481" bestFit="1" customWidth="1"/>
    <col min="8" max="8" width="9.00390625" style="481" customWidth="1"/>
    <col min="9" max="16384" width="9.00390625" style="303" customWidth="1"/>
  </cols>
  <sheetData>
    <row r="1" ht="15.75">
      <c r="B1" s="302" t="s">
        <v>401</v>
      </c>
    </row>
    <row r="2" ht="15.75">
      <c r="B2" s="302" t="s">
        <v>37</v>
      </c>
    </row>
    <row r="3" ht="15.75">
      <c r="B3" s="289" t="s">
        <v>379</v>
      </c>
    </row>
    <row r="4" ht="15.75">
      <c r="B4" s="304"/>
    </row>
    <row r="5" ht="15.75">
      <c r="B5" s="2" t="s">
        <v>38</v>
      </c>
    </row>
    <row r="6" ht="15.75">
      <c r="B6" s="2" t="s">
        <v>647</v>
      </c>
    </row>
    <row r="7" ht="15.75">
      <c r="B7" s="2"/>
    </row>
    <row r="8" ht="15.75">
      <c r="B8" s="2" t="s">
        <v>648</v>
      </c>
    </row>
    <row r="9" ht="15.75">
      <c r="B9" s="2" t="s">
        <v>795</v>
      </c>
    </row>
    <row r="10" ht="15.75">
      <c r="B10" s="2" t="s">
        <v>42</v>
      </c>
    </row>
    <row r="11" ht="15.75">
      <c r="B11" s="305"/>
    </row>
    <row r="12" ht="15.75">
      <c r="B12" s="305"/>
    </row>
    <row r="13" spans="1:2" ht="30.75" customHeight="1">
      <c r="A13" s="1006" t="s">
        <v>789</v>
      </c>
      <c r="B13" s="1007"/>
    </row>
    <row r="14" spans="1:2" ht="32.25" customHeight="1">
      <c r="A14" s="1008" t="str">
        <f>'10 (ТП-2 с. Хаилино)'!A14:B14</f>
        <v>"Реконструкция и развитие электроснабжения АО "Корякэнерго"</v>
      </c>
      <c r="B14" s="1008"/>
    </row>
    <row r="15" ht="16.5" thickBot="1">
      <c r="B15" s="306"/>
    </row>
    <row r="16" spans="1:2" ht="36" customHeight="1" thickBot="1">
      <c r="A16" s="404" t="s">
        <v>274</v>
      </c>
      <c r="B16" s="821" t="str">
        <f>'7.1'!B29</f>
        <v>Снегоход Arctic Cat с.Тымлат</v>
      </c>
    </row>
    <row r="17" spans="1:2" ht="16.5" thickBot="1">
      <c r="A17" s="404" t="s">
        <v>402</v>
      </c>
      <c r="B17" s="416" t="s">
        <v>740</v>
      </c>
    </row>
    <row r="18" spans="1:2" ht="16.5" thickBot="1">
      <c r="A18" s="404" t="s">
        <v>403</v>
      </c>
      <c r="B18" s="417"/>
    </row>
    <row r="19" spans="1:2" ht="16.5" thickBot="1">
      <c r="A19" s="404" t="s">
        <v>404</v>
      </c>
      <c r="B19" s="450"/>
    </row>
    <row r="20" spans="1:2" ht="16.5" thickBot="1">
      <c r="A20" s="405" t="s">
        <v>405</v>
      </c>
      <c r="B20" s="451" t="s">
        <v>592</v>
      </c>
    </row>
    <row r="21" spans="1:4" ht="16.5" thickBot="1">
      <c r="A21" s="406" t="s">
        <v>406</v>
      </c>
      <c r="B21" s="459" t="s">
        <v>742</v>
      </c>
      <c r="D21" s="454"/>
    </row>
    <row r="22" spans="1:2" ht="16.5" thickBot="1">
      <c r="A22" s="307" t="s">
        <v>407</v>
      </c>
      <c r="B22" s="398"/>
    </row>
    <row r="23" spans="1:2" ht="30.75" thickBot="1">
      <c r="A23" s="398" t="s">
        <v>409</v>
      </c>
      <c r="B23" s="399"/>
    </row>
    <row r="24" spans="1:2" ht="60.75" thickBot="1">
      <c r="A24" s="401" t="s">
        <v>410</v>
      </c>
      <c r="B24" s="399"/>
    </row>
    <row r="25" spans="1:2" ht="60.75" thickBot="1">
      <c r="A25" s="398" t="s">
        <v>411</v>
      </c>
      <c r="B25" s="398"/>
    </row>
    <row r="26" spans="1:2" ht="16.5" thickBot="1">
      <c r="A26" s="405" t="s">
        <v>412</v>
      </c>
      <c r="B26" s="398"/>
    </row>
    <row r="27" spans="1:2" ht="30.75" thickBot="1">
      <c r="A27" s="398" t="s">
        <v>413</v>
      </c>
      <c r="B27" s="398"/>
    </row>
    <row r="28" spans="1:2" ht="16.5" thickBot="1">
      <c r="A28" s="405" t="s">
        <v>414</v>
      </c>
      <c r="B28" s="398"/>
    </row>
    <row r="29" spans="1:2" ht="30.75" thickBot="1">
      <c r="A29" s="407" t="s">
        <v>415</v>
      </c>
      <c r="B29" s="398"/>
    </row>
    <row r="30" spans="1:2" ht="16.5" thickBot="1">
      <c r="A30" s="405" t="s">
        <v>416</v>
      </c>
      <c r="B30" s="418"/>
    </row>
    <row r="31" spans="1:2" ht="16.5" thickBot="1">
      <c r="A31" s="307" t="s">
        <v>418</v>
      </c>
      <c r="B31" s="452"/>
    </row>
    <row r="32" spans="1:2" ht="18.75" customHeight="1" thickBot="1">
      <c r="A32" s="405" t="s">
        <v>419</v>
      </c>
      <c r="B32" s="431"/>
    </row>
    <row r="33" spans="1:2" ht="28.5">
      <c r="A33" s="307" t="s">
        <v>420</v>
      </c>
      <c r="B33" s="401"/>
    </row>
    <row r="34" spans="1:2" ht="45">
      <c r="A34" s="402" t="s">
        <v>421</v>
      </c>
      <c r="B34" s="402"/>
    </row>
    <row r="35" spans="1:2" ht="15.75">
      <c r="A35" s="402" t="s">
        <v>422</v>
      </c>
      <c r="B35" s="402"/>
    </row>
    <row r="36" spans="1:2" ht="15.75">
      <c r="A36" s="402" t="s">
        <v>423</v>
      </c>
      <c r="B36" s="402"/>
    </row>
    <row r="37" spans="1:2" ht="16.5" thickBot="1">
      <c r="A37" s="408" t="s">
        <v>424</v>
      </c>
      <c r="B37" s="402"/>
    </row>
    <row r="38" spans="1:2" ht="16.5" thickBot="1">
      <c r="A38" s="409" t="s">
        <v>425</v>
      </c>
      <c r="B38" s="420">
        <v>0.6</v>
      </c>
    </row>
    <row r="39" spans="1:2" ht="16.5" thickBot="1">
      <c r="A39" s="398" t="s">
        <v>426</v>
      </c>
      <c r="B39" s="398"/>
    </row>
    <row r="40" spans="1:2" ht="29.25" thickBot="1">
      <c r="A40" s="410" t="s">
        <v>428</v>
      </c>
      <c r="B40" s="421">
        <f>B41</f>
        <v>0.6</v>
      </c>
    </row>
    <row r="41" spans="1:2" ht="29.25" thickBot="1">
      <c r="A41" s="410" t="s">
        <v>429</v>
      </c>
      <c r="B41" s="421">
        <f>B44+B54</f>
        <v>0.6</v>
      </c>
    </row>
    <row r="42" spans="1:2" ht="16.5" thickBot="1">
      <c r="A42" s="399" t="s">
        <v>301</v>
      </c>
      <c r="B42" s="421"/>
    </row>
    <row r="43" spans="1:3" ht="29.25" thickBot="1">
      <c r="A43" s="410" t="s">
        <v>430</v>
      </c>
      <c r="B43" s="421"/>
      <c r="C43" s="818"/>
    </row>
    <row r="44" spans="1:2" ht="16.5" thickBot="1">
      <c r="A44" s="399" t="s">
        <v>431</v>
      </c>
      <c r="B44" s="421"/>
    </row>
    <row r="45" spans="1:2" ht="16.5" thickBot="1">
      <c r="A45" s="399" t="s">
        <v>432</v>
      </c>
      <c r="B45" s="399"/>
    </row>
    <row r="46" spans="1:2" ht="16.5" thickBot="1">
      <c r="A46" s="399" t="s">
        <v>433</v>
      </c>
      <c r="B46" s="399"/>
    </row>
    <row r="47" spans="1:2" ht="16.5" thickBot="1">
      <c r="A47" s="399" t="s">
        <v>434</v>
      </c>
      <c r="B47" s="399"/>
    </row>
    <row r="48" spans="1:3" ht="29.25" thickBot="1">
      <c r="A48" s="410" t="s">
        <v>435</v>
      </c>
      <c r="B48" s="399"/>
      <c r="C48" s="818"/>
    </row>
    <row r="49" spans="1:2" ht="16.5" thickBot="1">
      <c r="A49" s="399" t="s">
        <v>431</v>
      </c>
      <c r="B49" s="421"/>
    </row>
    <row r="50" spans="1:2" ht="16.5" thickBot="1">
      <c r="A50" s="399" t="s">
        <v>432</v>
      </c>
      <c r="B50" s="398"/>
    </row>
    <row r="51" spans="1:2" ht="16.5" thickBot="1">
      <c r="A51" s="399" t="s">
        <v>433</v>
      </c>
      <c r="B51" s="398"/>
    </row>
    <row r="52" spans="1:2" ht="16.5" thickBot="1">
      <c r="A52" s="399" t="s">
        <v>434</v>
      </c>
      <c r="B52" s="398"/>
    </row>
    <row r="53" spans="1:2" ht="29.25" thickBot="1">
      <c r="A53" s="410" t="s">
        <v>436</v>
      </c>
      <c r="B53" s="421" t="s">
        <v>741</v>
      </c>
    </row>
    <row r="54" spans="1:2" ht="16.5" thickBot="1">
      <c r="A54" s="399" t="s">
        <v>431</v>
      </c>
      <c r="B54" s="421">
        <v>0.6</v>
      </c>
    </row>
    <row r="55" spans="1:2" ht="16.5" thickBot="1">
      <c r="A55" s="399" t="s">
        <v>432</v>
      </c>
      <c r="B55" s="398"/>
    </row>
    <row r="56" spans="1:2" ht="16.5" thickBot="1">
      <c r="A56" s="399" t="s">
        <v>433</v>
      </c>
      <c r="B56" s="398"/>
    </row>
    <row r="57" spans="1:2" ht="16.5" thickBot="1">
      <c r="A57" s="399" t="s">
        <v>434</v>
      </c>
      <c r="B57" s="398"/>
    </row>
    <row r="58" spans="1:2" ht="29.25" thickBot="1">
      <c r="A58" s="411" t="s">
        <v>437</v>
      </c>
      <c r="B58" s="422"/>
    </row>
    <row r="59" spans="1:2" ht="16.5" thickBot="1">
      <c r="A59" s="412" t="s">
        <v>301</v>
      </c>
      <c r="B59" s="422"/>
    </row>
    <row r="60" spans="1:2" ht="16.5" thickBot="1">
      <c r="A60" s="412" t="s">
        <v>438</v>
      </c>
      <c r="B60" s="422"/>
    </row>
    <row r="61" spans="1:2" ht="16.5" thickBot="1">
      <c r="A61" s="412" t="s">
        <v>439</v>
      </c>
      <c r="B61" s="422"/>
    </row>
    <row r="62" spans="1:2" ht="16.5" thickBot="1">
      <c r="A62" s="412" t="s">
        <v>440</v>
      </c>
      <c r="B62" s="422"/>
    </row>
    <row r="63" spans="1:2" ht="16.5" thickBot="1">
      <c r="A63" s="410" t="s">
        <v>441</v>
      </c>
      <c r="B63" s="423">
        <f>B64/B38</f>
        <v>1</v>
      </c>
    </row>
    <row r="64" spans="1:2" ht="16.5" thickBot="1">
      <c r="A64" s="410" t="s">
        <v>442</v>
      </c>
      <c r="B64" s="424">
        <f>'7.1'!E29</f>
        <v>0.6</v>
      </c>
    </row>
    <row r="65" spans="1:2" ht="16.5" thickBot="1">
      <c r="A65" s="410" t="s">
        <v>443</v>
      </c>
      <c r="B65" s="423">
        <f>B66/B38</f>
        <v>1.0000000073333335</v>
      </c>
    </row>
    <row r="66" spans="1:2" ht="16.5" thickBot="1">
      <c r="A66" s="409" t="s">
        <v>444</v>
      </c>
      <c r="B66" s="425">
        <f>'7.1'!N29</f>
        <v>0.6000000044</v>
      </c>
    </row>
    <row r="67" spans="1:2" ht="15.75">
      <c r="A67" s="307" t="s">
        <v>445</v>
      </c>
      <c r="B67" s="431"/>
    </row>
    <row r="68" spans="1:2" ht="15.75">
      <c r="A68" s="402" t="s">
        <v>446</v>
      </c>
      <c r="B68" s="453"/>
    </row>
    <row r="69" spans="1:2" ht="15.75">
      <c r="A69" s="402" t="s">
        <v>447</v>
      </c>
      <c r="B69" s="453"/>
    </row>
    <row r="70" spans="1:2" ht="15.75">
      <c r="A70" s="402" t="s">
        <v>448</v>
      </c>
      <c r="B70" s="453"/>
    </row>
    <row r="71" spans="1:2" ht="15.75">
      <c r="A71" s="402" t="s">
        <v>449</v>
      </c>
      <c r="B71" s="453"/>
    </row>
    <row r="72" spans="1:2" ht="16.5" thickBot="1">
      <c r="A72" s="403" t="s">
        <v>450</v>
      </c>
      <c r="B72" s="492"/>
    </row>
    <row r="73" spans="1:2" ht="30.75" thickBot="1">
      <c r="A73" s="401" t="s">
        <v>451</v>
      </c>
      <c r="B73" s="398"/>
    </row>
    <row r="74" spans="1:2" ht="29.25" thickBot="1">
      <c r="A74" s="405" t="s">
        <v>453</v>
      </c>
      <c r="B74" s="398"/>
    </row>
    <row r="75" spans="1:2" ht="16.5" thickBot="1">
      <c r="A75" s="401" t="s">
        <v>301</v>
      </c>
      <c r="B75" s="400"/>
    </row>
    <row r="76" spans="1:2" ht="16.5" thickBot="1">
      <c r="A76" s="401" t="s">
        <v>454</v>
      </c>
      <c r="B76" s="398"/>
    </row>
    <row r="77" spans="1:2" ht="16.5" thickBot="1">
      <c r="A77" s="401" t="s">
        <v>455</v>
      </c>
      <c r="B77" s="400"/>
    </row>
    <row r="78" spans="1:2" ht="16.5" thickBot="1">
      <c r="A78" s="307" t="s">
        <v>456</v>
      </c>
      <c r="B78" s="401"/>
    </row>
    <row r="79" spans="1:2" ht="16.5" thickBot="1">
      <c r="A79" s="405" t="s">
        <v>457</v>
      </c>
      <c r="B79" s="401"/>
    </row>
    <row r="80" spans="1:2" ht="16.5" thickBot="1">
      <c r="A80" s="402" t="s">
        <v>458</v>
      </c>
      <c r="B80" s="400"/>
    </row>
    <row r="81" spans="1:2" ht="16.5" thickBot="1">
      <c r="A81" s="402" t="s">
        <v>459</v>
      </c>
      <c r="B81" s="400"/>
    </row>
    <row r="82" spans="1:2" ht="16.5" thickBot="1">
      <c r="A82" s="402" t="s">
        <v>460</v>
      </c>
      <c r="B82" s="400"/>
    </row>
    <row r="83" spans="1:2" ht="30.75" thickBot="1">
      <c r="A83" s="307" t="s">
        <v>461</v>
      </c>
      <c r="B83" s="551" t="s">
        <v>743</v>
      </c>
    </row>
    <row r="84" spans="1:2" ht="28.5">
      <c r="A84" s="307" t="s">
        <v>462</v>
      </c>
      <c r="B84" s="1009"/>
    </row>
    <row r="85" spans="1:2" ht="15.75">
      <c r="A85" s="402" t="s">
        <v>463</v>
      </c>
      <c r="B85" s="1010"/>
    </row>
    <row r="86" spans="1:2" ht="15.75">
      <c r="A86" s="402" t="s">
        <v>464</v>
      </c>
      <c r="B86" s="1010"/>
    </row>
    <row r="87" spans="1:2" ht="15.75">
      <c r="A87" s="402" t="s">
        <v>465</v>
      </c>
      <c r="B87" s="1010"/>
    </row>
    <row r="88" spans="1:2" ht="15.75">
      <c r="A88" s="402" t="s">
        <v>466</v>
      </c>
      <c r="B88" s="1010"/>
    </row>
    <row r="89" spans="1:2" ht="16.5" thickBot="1">
      <c r="A89" s="413" t="s">
        <v>467</v>
      </c>
      <c r="B89" s="1011"/>
    </row>
    <row r="91" spans="1:2" ht="15.75">
      <c r="A91" s="308" t="s">
        <v>468</v>
      </c>
      <c r="B91" s="308"/>
    </row>
    <row r="92" ht="15.75">
      <c r="A92" s="301" t="s">
        <v>469</v>
      </c>
    </row>
    <row r="93" ht="15.75">
      <c r="A93" s="301" t="s">
        <v>470</v>
      </c>
    </row>
    <row r="94" ht="15.75">
      <c r="A94" s="301" t="s">
        <v>471</v>
      </c>
    </row>
    <row r="95" ht="15.75">
      <c r="A95" s="301" t="s">
        <v>472</v>
      </c>
    </row>
    <row r="96" ht="15.75">
      <c r="A96" s="301" t="s">
        <v>473</v>
      </c>
    </row>
    <row r="97" ht="15.75">
      <c r="A97" s="301" t="s">
        <v>474</v>
      </c>
    </row>
    <row r="98" spans="1:2" ht="15.75">
      <c r="A98" s="1012" t="s">
        <v>475</v>
      </c>
      <c r="B98" s="1012"/>
    </row>
    <row r="100" spans="1:2" ht="15.75">
      <c r="A100" s="1013" t="str">
        <f>'10 Снегоход Ильпырское'!A100:B100</f>
        <v>Заместитель генерального директора по экономике, финансам и сбыту                                                                                                        Е.Ю.Лукьяненко</v>
      </c>
      <c r="B100" s="1013"/>
    </row>
    <row r="101" ht="15.75">
      <c r="B101" s="309"/>
    </row>
    <row r="102" ht="15.75">
      <c r="B102" s="310"/>
    </row>
  </sheetData>
  <sheetProtection/>
  <mergeCells count="5">
    <mergeCell ref="A13:B13"/>
    <mergeCell ref="A14:B14"/>
    <mergeCell ref="B84:B89"/>
    <mergeCell ref="A98:B98"/>
    <mergeCell ref="A100:B10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02"/>
  <sheetViews>
    <sheetView view="pageBreakPreview" zoomScale="75" zoomScaleNormal="75" zoomScaleSheetLayoutView="75" zoomScalePageLayoutView="0" workbookViewId="0" topLeftCell="A40">
      <selection activeCell="B64" sqref="B64"/>
    </sheetView>
  </sheetViews>
  <sheetFormatPr defaultColWidth="9.00390625" defaultRowHeight="15.75"/>
  <cols>
    <col min="1" max="1" width="57.875" style="301" customWidth="1"/>
    <col min="2" max="2" width="64.50390625" style="301" customWidth="1"/>
    <col min="3" max="3" width="28.375" style="816" customWidth="1"/>
    <col min="4" max="6" width="9.00390625" style="303" customWidth="1"/>
    <col min="7" max="7" width="9.75390625" style="481" bestFit="1" customWidth="1"/>
    <col min="8" max="8" width="9.00390625" style="481" customWidth="1"/>
    <col min="9" max="16384" width="9.00390625" style="303" customWidth="1"/>
  </cols>
  <sheetData>
    <row r="1" ht="15.75">
      <c r="B1" s="302" t="s">
        <v>401</v>
      </c>
    </row>
    <row r="2" ht="15.75">
      <c r="B2" s="302" t="s">
        <v>37</v>
      </c>
    </row>
    <row r="3" ht="15.75">
      <c r="B3" s="289" t="s">
        <v>379</v>
      </c>
    </row>
    <row r="4" ht="15.75">
      <c r="B4" s="304"/>
    </row>
    <row r="5" ht="15.75">
      <c r="B5" s="2" t="s">
        <v>38</v>
      </c>
    </row>
    <row r="6" ht="15.75">
      <c r="B6" s="2" t="s">
        <v>647</v>
      </c>
    </row>
    <row r="7" ht="15.75">
      <c r="B7" s="2"/>
    </row>
    <row r="8" ht="15.75">
      <c r="B8" s="2" t="s">
        <v>648</v>
      </c>
    </row>
    <row r="9" ht="15.75">
      <c r="B9" s="2" t="s">
        <v>795</v>
      </c>
    </row>
    <row r="10" ht="15.75">
      <c r="B10" s="2" t="s">
        <v>42</v>
      </c>
    </row>
    <row r="11" ht="15.75">
      <c r="B11" s="305"/>
    </row>
    <row r="12" ht="15.75">
      <c r="B12" s="305"/>
    </row>
    <row r="13" spans="1:2" ht="30.75" customHeight="1">
      <c r="A13" s="1006" t="s">
        <v>789</v>
      </c>
      <c r="B13" s="1007"/>
    </row>
    <row r="14" spans="1:2" ht="32.25" customHeight="1">
      <c r="A14" s="1008" t="str">
        <f>'10 (ТП-2 с. Хаилино)'!A14:B14</f>
        <v>"Реконструкция и развитие электроснабжения АО "Корякэнерго"</v>
      </c>
      <c r="B14" s="1008"/>
    </row>
    <row r="15" ht="16.5" thickBot="1">
      <c r="B15" s="306"/>
    </row>
    <row r="16" spans="1:2" ht="36" customHeight="1" thickBot="1">
      <c r="A16" s="404" t="s">
        <v>274</v>
      </c>
      <c r="B16" s="821" t="str">
        <f>'7.1'!B30</f>
        <v>Автомобиль УАЗ-29891 с.Пахачи</v>
      </c>
    </row>
    <row r="17" spans="1:2" ht="16.5" thickBot="1">
      <c r="A17" s="404" t="s">
        <v>402</v>
      </c>
      <c r="B17" s="416" t="s">
        <v>745</v>
      </c>
    </row>
    <row r="18" spans="1:2" ht="16.5" thickBot="1">
      <c r="A18" s="404" t="s">
        <v>403</v>
      </c>
      <c r="B18" s="417"/>
    </row>
    <row r="19" spans="1:2" ht="16.5" thickBot="1">
      <c r="A19" s="404" t="s">
        <v>404</v>
      </c>
      <c r="B19" s="450"/>
    </row>
    <row r="20" spans="1:2" ht="16.5" thickBot="1">
      <c r="A20" s="688" t="s">
        <v>405</v>
      </c>
      <c r="B20" s="451" t="s">
        <v>746</v>
      </c>
    </row>
    <row r="21" spans="1:4" ht="16.5" thickBot="1">
      <c r="A21" s="820" t="s">
        <v>406</v>
      </c>
      <c r="B21" s="459" t="s">
        <v>744</v>
      </c>
      <c r="D21" s="454"/>
    </row>
    <row r="22" spans="1:2" ht="16.5" thickBot="1">
      <c r="A22" s="307" t="s">
        <v>407</v>
      </c>
      <c r="B22" s="398"/>
    </row>
    <row r="23" spans="1:2" ht="30.75" thickBot="1">
      <c r="A23" s="398" t="s">
        <v>409</v>
      </c>
      <c r="B23" s="399"/>
    </row>
    <row r="24" spans="1:2" ht="60.75" thickBot="1">
      <c r="A24" s="401" t="s">
        <v>410</v>
      </c>
      <c r="B24" s="399"/>
    </row>
    <row r="25" spans="1:2" ht="60.75" thickBot="1">
      <c r="A25" s="398" t="s">
        <v>411</v>
      </c>
      <c r="B25" s="398"/>
    </row>
    <row r="26" spans="1:2" ht="16.5" thickBot="1">
      <c r="A26" s="405" t="s">
        <v>412</v>
      </c>
      <c r="B26" s="398"/>
    </row>
    <row r="27" spans="1:2" ht="30.75" thickBot="1">
      <c r="A27" s="398" t="s">
        <v>413</v>
      </c>
      <c r="B27" s="398"/>
    </row>
    <row r="28" spans="1:2" ht="16.5" thickBot="1">
      <c r="A28" s="405" t="s">
        <v>414</v>
      </c>
      <c r="B28" s="398"/>
    </row>
    <row r="29" spans="1:2" ht="30.75" thickBot="1">
      <c r="A29" s="407" t="s">
        <v>415</v>
      </c>
      <c r="B29" s="398"/>
    </row>
    <row r="30" spans="1:2" ht="16.5" thickBot="1">
      <c r="A30" s="405" t="s">
        <v>416</v>
      </c>
      <c r="B30" s="418"/>
    </row>
    <row r="31" spans="1:2" ht="16.5" thickBot="1">
      <c r="A31" s="307" t="s">
        <v>418</v>
      </c>
      <c r="B31" s="452"/>
    </row>
    <row r="32" spans="1:2" ht="18.75" customHeight="1" thickBot="1">
      <c r="A32" s="405" t="s">
        <v>419</v>
      </c>
      <c r="B32" s="431"/>
    </row>
    <row r="33" spans="1:2" ht="28.5">
      <c r="A33" s="307" t="s">
        <v>420</v>
      </c>
      <c r="B33" s="401"/>
    </row>
    <row r="34" spans="1:2" ht="45">
      <c r="A34" s="402" t="s">
        <v>421</v>
      </c>
      <c r="B34" s="402"/>
    </row>
    <row r="35" spans="1:2" ht="15.75">
      <c r="A35" s="402" t="s">
        <v>422</v>
      </c>
      <c r="B35" s="402"/>
    </row>
    <row r="36" spans="1:2" ht="15.75">
      <c r="A36" s="402" t="s">
        <v>423</v>
      </c>
      <c r="B36" s="402"/>
    </row>
    <row r="37" spans="1:2" ht="16.5" thickBot="1">
      <c r="A37" s="408" t="s">
        <v>424</v>
      </c>
      <c r="B37" s="402"/>
    </row>
    <row r="38" spans="1:2" ht="16.5" thickBot="1">
      <c r="A38" s="409" t="s">
        <v>425</v>
      </c>
      <c r="B38" s="420">
        <v>0.99475</v>
      </c>
    </row>
    <row r="39" spans="1:2" ht="16.5" thickBot="1">
      <c r="A39" s="398" t="s">
        <v>426</v>
      </c>
      <c r="B39" s="398"/>
    </row>
    <row r="40" spans="1:2" ht="29.25" thickBot="1">
      <c r="A40" s="410" t="s">
        <v>428</v>
      </c>
      <c r="B40" s="421">
        <f>B41</f>
        <v>1.00757509</v>
      </c>
    </row>
    <row r="41" spans="1:2" ht="29.25" thickBot="1">
      <c r="A41" s="410" t="s">
        <v>429</v>
      </c>
      <c r="B41" s="421">
        <f>B44+B54</f>
        <v>1.00757509</v>
      </c>
    </row>
    <row r="42" spans="1:2" ht="16.5" thickBot="1">
      <c r="A42" s="399" t="s">
        <v>301</v>
      </c>
      <c r="B42" s="421"/>
    </row>
    <row r="43" spans="1:3" ht="29.25" thickBot="1">
      <c r="A43" s="410" t="s">
        <v>430</v>
      </c>
      <c r="B43" s="421"/>
      <c r="C43" s="818"/>
    </row>
    <row r="44" spans="1:2" ht="16.5" thickBot="1">
      <c r="A44" s="399" t="s">
        <v>431</v>
      </c>
      <c r="B44" s="421"/>
    </row>
    <row r="45" spans="1:2" ht="16.5" thickBot="1">
      <c r="A45" s="399" t="s">
        <v>432</v>
      </c>
      <c r="B45" s="399"/>
    </row>
    <row r="46" spans="1:2" ht="16.5" thickBot="1">
      <c r="A46" s="399" t="s">
        <v>433</v>
      </c>
      <c r="B46" s="399"/>
    </row>
    <row r="47" spans="1:2" ht="16.5" thickBot="1">
      <c r="A47" s="399" t="s">
        <v>434</v>
      </c>
      <c r="B47" s="399"/>
    </row>
    <row r="48" spans="1:3" ht="29.25" thickBot="1">
      <c r="A48" s="410" t="s">
        <v>435</v>
      </c>
      <c r="B48" s="399"/>
      <c r="C48" s="818"/>
    </row>
    <row r="49" spans="1:2" ht="16.5" thickBot="1">
      <c r="A49" s="399" t="s">
        <v>431</v>
      </c>
      <c r="B49" s="421"/>
    </row>
    <row r="50" spans="1:2" ht="16.5" thickBot="1">
      <c r="A50" s="399" t="s">
        <v>432</v>
      </c>
      <c r="B50" s="398"/>
    </row>
    <row r="51" spans="1:2" ht="16.5" thickBot="1">
      <c r="A51" s="399" t="s">
        <v>433</v>
      </c>
      <c r="B51" s="398"/>
    </row>
    <row r="52" spans="1:2" ht="16.5" thickBot="1">
      <c r="A52" s="399" t="s">
        <v>434</v>
      </c>
      <c r="B52" s="398"/>
    </row>
    <row r="53" spans="1:2" ht="29.25" thickBot="1">
      <c r="A53" s="410" t="s">
        <v>436</v>
      </c>
      <c r="B53" s="421" t="s">
        <v>747</v>
      </c>
    </row>
    <row r="54" spans="1:2" ht="16.5" thickBot="1">
      <c r="A54" s="399" t="s">
        <v>431</v>
      </c>
      <c r="B54" s="421">
        <v>1.00757509</v>
      </c>
    </row>
    <row r="55" spans="1:2" ht="16.5" thickBot="1">
      <c r="A55" s="399" t="s">
        <v>432</v>
      </c>
      <c r="B55" s="398"/>
    </row>
    <row r="56" spans="1:2" ht="16.5" thickBot="1">
      <c r="A56" s="399" t="s">
        <v>433</v>
      </c>
      <c r="B56" s="398"/>
    </row>
    <row r="57" spans="1:2" ht="16.5" thickBot="1">
      <c r="A57" s="399" t="s">
        <v>434</v>
      </c>
      <c r="B57" s="398"/>
    </row>
    <row r="58" spans="1:2" ht="29.25" thickBot="1">
      <c r="A58" s="411" t="s">
        <v>437</v>
      </c>
      <c r="B58" s="422"/>
    </row>
    <row r="59" spans="1:2" ht="16.5" thickBot="1">
      <c r="A59" s="412" t="s">
        <v>301</v>
      </c>
      <c r="B59" s="422"/>
    </row>
    <row r="60" spans="1:2" ht="16.5" thickBot="1">
      <c r="A60" s="412" t="s">
        <v>438</v>
      </c>
      <c r="B60" s="422"/>
    </row>
    <row r="61" spans="1:2" ht="16.5" thickBot="1">
      <c r="A61" s="412" t="s">
        <v>439</v>
      </c>
      <c r="B61" s="422"/>
    </row>
    <row r="62" spans="1:2" ht="16.5" thickBot="1">
      <c r="A62" s="412" t="s">
        <v>440</v>
      </c>
      <c r="B62" s="422"/>
    </row>
    <row r="63" spans="1:2" ht="16.5" thickBot="1">
      <c r="A63" s="410" t="s">
        <v>441</v>
      </c>
      <c r="B63" s="423">
        <f>B64/B38</f>
        <v>0.29893387283236994</v>
      </c>
    </row>
    <row r="64" spans="1:2" ht="16.5" thickBot="1">
      <c r="A64" s="410" t="s">
        <v>442</v>
      </c>
      <c r="B64" s="424">
        <f>'7.1'!E30</f>
        <v>0.29736447</v>
      </c>
    </row>
    <row r="65" spans="1:2" ht="16.5" thickBot="1">
      <c r="A65" s="410" t="s">
        <v>443</v>
      </c>
      <c r="B65" s="423">
        <f>B66/B38</f>
        <v>0.29893383945715</v>
      </c>
    </row>
    <row r="66" spans="1:2" ht="16.5" thickBot="1">
      <c r="A66" s="409" t="s">
        <v>444</v>
      </c>
      <c r="B66" s="425">
        <f>'7.1'!N30</f>
        <v>0.29736443679999996</v>
      </c>
    </row>
    <row r="67" spans="1:2" ht="15.75">
      <c r="A67" s="307" t="s">
        <v>445</v>
      </c>
      <c r="B67" s="431"/>
    </row>
    <row r="68" spans="1:2" ht="15.75">
      <c r="A68" s="402" t="s">
        <v>446</v>
      </c>
      <c r="B68" s="453"/>
    </row>
    <row r="69" spans="1:2" ht="15.75">
      <c r="A69" s="402" t="s">
        <v>447</v>
      </c>
      <c r="B69" s="453"/>
    </row>
    <row r="70" spans="1:2" ht="15.75">
      <c r="A70" s="402" t="s">
        <v>448</v>
      </c>
      <c r="B70" s="453"/>
    </row>
    <row r="71" spans="1:2" ht="15.75">
      <c r="A71" s="402" t="s">
        <v>449</v>
      </c>
      <c r="B71" s="453"/>
    </row>
    <row r="72" spans="1:2" ht="16.5" thickBot="1">
      <c r="A72" s="403" t="s">
        <v>450</v>
      </c>
      <c r="B72" s="492"/>
    </row>
    <row r="73" spans="1:2" ht="30.75" thickBot="1">
      <c r="A73" s="401" t="s">
        <v>451</v>
      </c>
      <c r="B73" s="398"/>
    </row>
    <row r="74" spans="1:2" ht="29.25" thickBot="1">
      <c r="A74" s="405" t="s">
        <v>453</v>
      </c>
      <c r="B74" s="398"/>
    </row>
    <row r="75" spans="1:2" ht="16.5" thickBot="1">
      <c r="A75" s="401" t="s">
        <v>301</v>
      </c>
      <c r="B75" s="400"/>
    </row>
    <row r="76" spans="1:2" ht="16.5" thickBot="1">
      <c r="A76" s="401" t="s">
        <v>454</v>
      </c>
      <c r="B76" s="398"/>
    </row>
    <row r="77" spans="1:2" ht="16.5" thickBot="1">
      <c r="A77" s="401" t="s">
        <v>455</v>
      </c>
      <c r="B77" s="400"/>
    </row>
    <row r="78" spans="1:2" ht="16.5" thickBot="1">
      <c r="A78" s="307" t="s">
        <v>456</v>
      </c>
      <c r="B78" s="401"/>
    </row>
    <row r="79" spans="1:2" ht="16.5" thickBot="1">
      <c r="A79" s="405" t="s">
        <v>457</v>
      </c>
      <c r="B79" s="401"/>
    </row>
    <row r="80" spans="1:2" ht="16.5" thickBot="1">
      <c r="A80" s="402" t="s">
        <v>458</v>
      </c>
      <c r="B80" s="400"/>
    </row>
    <row r="81" spans="1:2" ht="16.5" thickBot="1">
      <c r="A81" s="402" t="s">
        <v>459</v>
      </c>
      <c r="B81" s="400"/>
    </row>
    <row r="82" spans="1:2" ht="16.5" thickBot="1">
      <c r="A82" s="402" t="s">
        <v>460</v>
      </c>
      <c r="B82" s="400"/>
    </row>
    <row r="83" spans="1:2" ht="29.25" thickBot="1">
      <c r="A83" s="819" t="s">
        <v>461</v>
      </c>
      <c r="B83" s="551"/>
    </row>
    <row r="84" spans="1:2" ht="28.5">
      <c r="A84" s="307" t="s">
        <v>462</v>
      </c>
      <c r="B84" s="1009"/>
    </row>
    <row r="85" spans="1:2" ht="15.75">
      <c r="A85" s="402" t="s">
        <v>463</v>
      </c>
      <c r="B85" s="1010"/>
    </row>
    <row r="86" spans="1:2" ht="15.75">
      <c r="A86" s="402" t="s">
        <v>464</v>
      </c>
      <c r="B86" s="1010"/>
    </row>
    <row r="87" spans="1:2" ht="15.75">
      <c r="A87" s="402" t="s">
        <v>465</v>
      </c>
      <c r="B87" s="1010"/>
    </row>
    <row r="88" spans="1:2" ht="15.75">
      <c r="A88" s="402" t="s">
        <v>466</v>
      </c>
      <c r="B88" s="1010"/>
    </row>
    <row r="89" spans="1:2" ht="16.5" thickBot="1">
      <c r="A89" s="413" t="s">
        <v>467</v>
      </c>
      <c r="B89" s="1011"/>
    </row>
    <row r="91" spans="1:2" ht="15.75">
      <c r="A91" s="308" t="s">
        <v>468</v>
      </c>
      <c r="B91" s="308"/>
    </row>
    <row r="92" ht="15.75">
      <c r="A92" s="301" t="s">
        <v>469</v>
      </c>
    </row>
    <row r="93" ht="15.75">
      <c r="A93" s="301" t="s">
        <v>470</v>
      </c>
    </row>
    <row r="94" ht="15.75">
      <c r="A94" s="301" t="s">
        <v>471</v>
      </c>
    </row>
    <row r="95" ht="15.75">
      <c r="A95" s="301" t="s">
        <v>472</v>
      </c>
    </row>
    <row r="96" ht="15.75">
      <c r="A96" s="301" t="s">
        <v>473</v>
      </c>
    </row>
    <row r="97" ht="15.75">
      <c r="A97" s="301" t="s">
        <v>474</v>
      </c>
    </row>
    <row r="98" spans="1:2" ht="15.75">
      <c r="A98" s="1012" t="s">
        <v>475</v>
      </c>
      <c r="B98" s="1012"/>
    </row>
    <row r="100" spans="1:2" ht="15.75">
      <c r="A100" s="1013" t="str">
        <f>8!A52:M52</f>
        <v>Заместитель генерального директора по экономике, финансам и сбыту                                                                                                        Е.Ю.Лукьяненко</v>
      </c>
      <c r="B100" s="1013"/>
    </row>
    <row r="101" ht="15.75">
      <c r="B101" s="309"/>
    </row>
    <row r="102" ht="15.75">
      <c r="B102" s="310"/>
    </row>
  </sheetData>
  <sheetProtection/>
  <mergeCells count="5">
    <mergeCell ref="A13:B13"/>
    <mergeCell ref="A14:B14"/>
    <mergeCell ref="B84:B89"/>
    <mergeCell ref="A98:B98"/>
    <mergeCell ref="A100:B10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89"/>
  <sheetViews>
    <sheetView view="pageBreakPreview" zoomScale="86" zoomScaleSheetLayoutView="86" zoomScalePageLayoutView="0" workbookViewId="0" topLeftCell="A1">
      <pane xSplit="2" ySplit="16" topLeftCell="C41" activePane="bottomRight" state="frozen"/>
      <selection pane="topLeft" activeCell="A1" sqref="A1"/>
      <selection pane="topRight" activeCell="C1" sqref="C1"/>
      <selection pane="bottomLeft" activeCell="A18" sqref="A18"/>
      <selection pane="bottomRight" activeCell="I54" sqref="I54"/>
    </sheetView>
  </sheetViews>
  <sheetFormatPr defaultColWidth="9.00390625" defaultRowHeight="15.75"/>
  <cols>
    <col min="1" max="1" width="7.00390625" style="0" customWidth="1"/>
    <col min="2" max="2" width="53.75390625" style="0" customWidth="1"/>
    <col min="3" max="6" width="12.375" style="0" customWidth="1"/>
    <col min="7" max="7" width="10.50390625" style="0" customWidth="1"/>
    <col min="8" max="8" width="9.125" style="0" customWidth="1"/>
  </cols>
  <sheetData>
    <row r="1" ht="15.75">
      <c r="F1" s="143" t="s">
        <v>150</v>
      </c>
    </row>
    <row r="2" ht="15.75">
      <c r="F2" s="143" t="s">
        <v>37</v>
      </c>
    </row>
    <row r="3" ht="15.75">
      <c r="F3" s="143" t="s">
        <v>50</v>
      </c>
    </row>
    <row r="4" ht="15.75">
      <c r="F4" s="2"/>
    </row>
    <row r="5" ht="15.75">
      <c r="F5" s="2" t="s">
        <v>38</v>
      </c>
    </row>
    <row r="6" ht="15.75">
      <c r="F6" s="2" t="s">
        <v>235</v>
      </c>
    </row>
    <row r="7" ht="15.75">
      <c r="F7" s="2"/>
    </row>
    <row r="8" ht="15.75">
      <c r="F8" s="2" t="s">
        <v>368</v>
      </c>
    </row>
    <row r="9" ht="15.75">
      <c r="F9" s="2" t="s">
        <v>369</v>
      </c>
    </row>
    <row r="10" ht="15.75">
      <c r="F10" s="2" t="s">
        <v>42</v>
      </c>
    </row>
    <row r="11" spans="1:8" ht="36.75" customHeight="1">
      <c r="A11" s="932" t="s">
        <v>49</v>
      </c>
      <c r="B11" s="932"/>
      <c r="C11" s="932"/>
      <c r="D11" s="932"/>
      <c r="E11" s="932"/>
      <c r="F11" s="932"/>
      <c r="H11" s="2"/>
    </row>
    <row r="12" spans="1:8" ht="36.75" customHeight="1">
      <c r="A12" s="939" t="s">
        <v>370</v>
      </c>
      <c r="B12" s="939"/>
      <c r="C12" s="939"/>
      <c r="D12" s="939"/>
      <c r="E12" s="939"/>
      <c r="F12" s="939"/>
      <c r="H12" s="2"/>
    </row>
    <row r="13" ht="16.5" thickBot="1">
      <c r="F13" s="2" t="s">
        <v>320</v>
      </c>
    </row>
    <row r="14" spans="1:9" ht="15.75">
      <c r="A14" s="933" t="s">
        <v>236</v>
      </c>
      <c r="B14" s="935" t="s">
        <v>293</v>
      </c>
      <c r="C14" s="933">
        <v>2012</v>
      </c>
      <c r="D14" s="937"/>
      <c r="E14" s="938">
        <v>2013</v>
      </c>
      <c r="F14" s="937"/>
      <c r="I14" s="29"/>
    </row>
    <row r="15" spans="1:9" ht="16.5" thickBot="1">
      <c r="A15" s="934"/>
      <c r="B15" s="936"/>
      <c r="C15" s="32" t="s">
        <v>259</v>
      </c>
      <c r="D15" s="33" t="s">
        <v>260</v>
      </c>
      <c r="E15" s="80" t="s">
        <v>259</v>
      </c>
      <c r="F15" s="33" t="s">
        <v>260</v>
      </c>
      <c r="I15" s="29"/>
    </row>
    <row r="16" spans="1:9" ht="16.5" thickBot="1">
      <c r="A16" s="65">
        <v>1</v>
      </c>
      <c r="B16" s="67">
        <v>2</v>
      </c>
      <c r="C16" s="68">
        <v>3</v>
      </c>
      <c r="D16" s="66">
        <v>4</v>
      </c>
      <c r="E16" s="81">
        <v>5</v>
      </c>
      <c r="F16" s="66">
        <v>6</v>
      </c>
      <c r="I16" s="29"/>
    </row>
    <row r="17" spans="1:9" ht="15.75" customHeight="1">
      <c r="A17" s="70" t="s">
        <v>279</v>
      </c>
      <c r="B17" s="61" t="s">
        <v>294</v>
      </c>
      <c r="C17" s="216">
        <v>103.73433086716904</v>
      </c>
      <c r="D17" s="216">
        <f>(25410657+868817)/1000000/1.18</f>
        <v>22.270740677966103</v>
      </c>
      <c r="E17" s="232"/>
      <c r="F17" s="233"/>
      <c r="I17" s="29"/>
    </row>
    <row r="18" spans="1:9" ht="15.75">
      <c r="A18" s="36"/>
      <c r="B18" s="37" t="s">
        <v>303</v>
      </c>
      <c r="C18" s="217"/>
      <c r="D18" s="234"/>
      <c r="E18" s="235"/>
      <c r="F18" s="236"/>
      <c r="I18" s="29"/>
    </row>
    <row r="19" spans="1:9" ht="31.5">
      <c r="A19" s="36" t="s">
        <v>238</v>
      </c>
      <c r="B19" s="37" t="s">
        <v>72</v>
      </c>
      <c r="C19" s="217">
        <v>103.73433086716904</v>
      </c>
      <c r="D19" s="234">
        <f>5!D17</f>
        <v>22.270740677966103</v>
      </c>
      <c r="E19" s="235"/>
      <c r="F19" s="237"/>
      <c r="I19" s="29"/>
    </row>
    <row r="20" spans="1:9" ht="16.5" thickBot="1">
      <c r="A20" s="38" t="s">
        <v>239</v>
      </c>
      <c r="B20" s="39" t="s">
        <v>31</v>
      </c>
      <c r="C20" s="218"/>
      <c r="D20" s="238"/>
      <c r="E20" s="239"/>
      <c r="F20" s="240"/>
      <c r="I20" s="29"/>
    </row>
    <row r="21" spans="1:9" ht="15.75">
      <c r="A21" s="70" t="s">
        <v>272</v>
      </c>
      <c r="B21" s="61" t="s">
        <v>7</v>
      </c>
      <c r="C21" s="216">
        <v>68.6349200143854</v>
      </c>
      <c r="D21" s="231">
        <f>SUM(D22,D27:D30)</f>
        <v>93.77588006828991</v>
      </c>
      <c r="E21" s="232"/>
      <c r="F21" s="241"/>
      <c r="G21" s="279"/>
      <c r="I21" s="29"/>
    </row>
    <row r="22" spans="1:9" ht="15.75">
      <c r="A22" s="34" t="s">
        <v>237</v>
      </c>
      <c r="B22" s="35" t="s">
        <v>295</v>
      </c>
      <c r="C22" s="217">
        <v>21.67935155</v>
      </c>
      <c r="D22" s="234">
        <f>SUM(D24:D26)</f>
        <v>59.97413964518828</v>
      </c>
      <c r="E22" s="235"/>
      <c r="F22" s="237"/>
      <c r="I22" s="29"/>
    </row>
    <row r="23" spans="1:9" ht="15.75">
      <c r="A23" s="36"/>
      <c r="B23" s="37" t="s">
        <v>303</v>
      </c>
      <c r="C23" s="219"/>
      <c r="D23" s="242"/>
      <c r="E23" s="243"/>
      <c r="F23" s="236"/>
      <c r="I23" s="29"/>
    </row>
    <row r="24" spans="1:9" ht="15.75">
      <c r="A24" s="36" t="s">
        <v>238</v>
      </c>
      <c r="B24" s="37" t="s">
        <v>28</v>
      </c>
      <c r="C24" s="219">
        <v>18.59374455</v>
      </c>
      <c r="D24" s="242">
        <f>69.7814644622/1.18</f>
        <v>59.13683429000001</v>
      </c>
      <c r="E24" s="243"/>
      <c r="F24" s="237"/>
      <c r="I24" s="29"/>
    </row>
    <row r="25" spans="1:9" ht="15.75">
      <c r="A25" s="36" t="s">
        <v>239</v>
      </c>
      <c r="B25" s="37" t="s">
        <v>29</v>
      </c>
      <c r="C25" s="219">
        <v>3.085607</v>
      </c>
      <c r="D25" s="242">
        <f>0.912957266818215/1.18</f>
        <v>0.7736925989984873</v>
      </c>
      <c r="E25" s="243"/>
      <c r="F25" s="237"/>
      <c r="I25" s="29"/>
    </row>
    <row r="26" spans="1:9" ht="15.75">
      <c r="A26" s="36" t="s">
        <v>250</v>
      </c>
      <c r="B26" s="37" t="s">
        <v>30</v>
      </c>
      <c r="C26" s="219"/>
      <c r="D26" s="242">
        <f>0.0750630523039461/1.18</f>
        <v>0.06361275618978483</v>
      </c>
      <c r="E26" s="243"/>
      <c r="F26" s="237"/>
      <c r="I26" s="29"/>
    </row>
    <row r="27" spans="1:9" ht="15.75">
      <c r="A27" s="34" t="s">
        <v>240</v>
      </c>
      <c r="B27" s="35" t="s">
        <v>296</v>
      </c>
      <c r="C27" s="217">
        <v>24.0214977155088</v>
      </c>
      <c r="D27" s="234">
        <v>21.816105421072198</v>
      </c>
      <c r="E27" s="235"/>
      <c r="F27" s="237"/>
      <c r="G27" s="193"/>
      <c r="I27" s="29"/>
    </row>
    <row r="28" spans="1:9" ht="15.75">
      <c r="A28" s="34" t="s">
        <v>297</v>
      </c>
      <c r="B28" s="35" t="s">
        <v>298</v>
      </c>
      <c r="C28" s="217">
        <v>6.9275511968766</v>
      </c>
      <c r="D28" s="234">
        <v>1.2803096058397707</v>
      </c>
      <c r="E28" s="235"/>
      <c r="F28" s="236"/>
      <c r="G28" s="193"/>
      <c r="I28" s="29"/>
    </row>
    <row r="29" spans="1:9" ht="15.75">
      <c r="A29" s="34" t="s">
        <v>299</v>
      </c>
      <c r="B29" s="35" t="s">
        <v>307</v>
      </c>
      <c r="C29" s="217">
        <v>1.030179552</v>
      </c>
      <c r="D29" s="234">
        <v>0.09750075200224556</v>
      </c>
      <c r="E29" s="235"/>
      <c r="F29" s="236"/>
      <c r="G29" s="193"/>
      <c r="I29" s="29"/>
    </row>
    <row r="30" spans="1:9" ht="15.75">
      <c r="A30" s="34" t="s">
        <v>306</v>
      </c>
      <c r="B30" s="35" t="s">
        <v>300</v>
      </c>
      <c r="C30" s="217">
        <v>14.97634</v>
      </c>
      <c r="D30" s="234">
        <f>10.6078246441874</f>
        <v>10.6078246441874</v>
      </c>
      <c r="E30" s="235"/>
      <c r="F30" s="237"/>
      <c r="G30" s="280"/>
      <c r="I30" s="29"/>
    </row>
    <row r="31" spans="1:9" ht="15.75">
      <c r="A31" s="36"/>
      <c r="B31" s="37" t="s">
        <v>303</v>
      </c>
      <c r="C31" s="219"/>
      <c r="D31" s="242"/>
      <c r="E31" s="243"/>
      <c r="F31" s="237"/>
      <c r="I31" s="29"/>
    </row>
    <row r="32" spans="1:9" ht="15.75">
      <c r="A32" s="36" t="s">
        <v>248</v>
      </c>
      <c r="B32" s="37" t="s">
        <v>302</v>
      </c>
      <c r="C32" s="219">
        <v>12.622</v>
      </c>
      <c r="D32" s="242">
        <f>6.83567528475406/1.18</f>
        <v>5.792945156571237</v>
      </c>
      <c r="E32" s="243"/>
      <c r="F32" s="237"/>
      <c r="G32" s="193"/>
      <c r="I32" s="29"/>
    </row>
    <row r="33" spans="1:9" ht="15.75">
      <c r="A33" s="36" t="s">
        <v>308</v>
      </c>
      <c r="B33" s="37" t="s">
        <v>8</v>
      </c>
      <c r="C33" s="219"/>
      <c r="D33" s="242">
        <f>3.07130172509567/1.18</f>
        <v>2.6027980721149744</v>
      </c>
      <c r="E33" s="243"/>
      <c r="F33" s="237"/>
      <c r="G33" s="193"/>
      <c r="I33" s="29"/>
    </row>
    <row r="34" spans="1:9" ht="16.5" thickBot="1">
      <c r="A34" s="38" t="s">
        <v>0</v>
      </c>
      <c r="B34" s="39" t="s">
        <v>9</v>
      </c>
      <c r="C34" s="220"/>
      <c r="D34" s="244"/>
      <c r="E34" s="245"/>
      <c r="F34" s="240"/>
      <c r="I34" s="29"/>
    </row>
    <row r="35" spans="1:9" ht="16.5" thickBot="1">
      <c r="A35" s="69" t="s">
        <v>273</v>
      </c>
      <c r="B35" s="40" t="s">
        <v>10</v>
      </c>
      <c r="C35" s="221">
        <v>35.099410852783635</v>
      </c>
      <c r="D35" s="246">
        <f>D17-D21</f>
        <v>-71.5051393903238</v>
      </c>
      <c r="E35" s="247"/>
      <c r="F35" s="248"/>
      <c r="I35" s="29"/>
    </row>
    <row r="36" spans="1:9" ht="15.75">
      <c r="A36" s="70" t="s">
        <v>309</v>
      </c>
      <c r="B36" s="61" t="s">
        <v>310</v>
      </c>
      <c r="C36" s="216"/>
      <c r="D36" s="231">
        <f>D37-D41</f>
        <v>103.5666615875469</v>
      </c>
      <c r="E36" s="232"/>
      <c r="F36" s="241"/>
      <c r="I36" s="29"/>
    </row>
    <row r="37" spans="1:9" ht="15.75">
      <c r="A37" s="36" t="s">
        <v>237</v>
      </c>
      <c r="B37" s="37" t="s">
        <v>311</v>
      </c>
      <c r="C37" s="219"/>
      <c r="D37" s="242">
        <f>(107596469+4093634)/1000000</f>
        <v>111.690103</v>
      </c>
      <c r="E37" s="243"/>
      <c r="F37" s="237"/>
      <c r="I37" s="29"/>
    </row>
    <row r="38" spans="1:9" ht="15.75">
      <c r="A38" s="36"/>
      <c r="B38" s="37" t="s">
        <v>301</v>
      </c>
      <c r="C38" s="219"/>
      <c r="D38" s="242"/>
      <c r="E38" s="243"/>
      <c r="F38" s="237"/>
      <c r="I38" s="29"/>
    </row>
    <row r="39" spans="1:9" ht="31.5">
      <c r="A39" s="36" t="s">
        <v>238</v>
      </c>
      <c r="B39" s="37" t="s">
        <v>14</v>
      </c>
      <c r="C39" s="219"/>
      <c r="D39" s="242"/>
      <c r="E39" s="243"/>
      <c r="F39" s="237"/>
      <c r="I39" s="29"/>
    </row>
    <row r="40" spans="1:9" ht="15.75">
      <c r="A40" s="36" t="s">
        <v>239</v>
      </c>
      <c r="B40" s="41" t="s">
        <v>15</v>
      </c>
      <c r="C40" s="219"/>
      <c r="D40" s="242"/>
      <c r="E40" s="243"/>
      <c r="F40" s="237"/>
      <c r="I40" s="29"/>
    </row>
    <row r="41" spans="1:9" ht="15.75">
      <c r="A41" s="36" t="s">
        <v>240</v>
      </c>
      <c r="B41" s="37" t="s">
        <v>312</v>
      </c>
      <c r="C41" s="219"/>
      <c r="D41" s="242">
        <v>8.12344141245309</v>
      </c>
      <c r="E41" s="243"/>
      <c r="F41" s="237"/>
      <c r="I41" s="29"/>
    </row>
    <row r="42" spans="1:9" ht="15.75">
      <c r="A42" s="36"/>
      <c r="B42" s="37" t="s">
        <v>301</v>
      </c>
      <c r="C42" s="219"/>
      <c r="D42" s="242"/>
      <c r="E42" s="243"/>
      <c r="F42" s="237"/>
      <c r="I42" s="29"/>
    </row>
    <row r="43" spans="1:9" ht="16.5" thickBot="1">
      <c r="A43" s="38" t="s">
        <v>241</v>
      </c>
      <c r="B43" s="39" t="s">
        <v>16</v>
      </c>
      <c r="C43" s="220"/>
      <c r="D43" s="244"/>
      <c r="E43" s="245"/>
      <c r="F43" s="240"/>
      <c r="I43" s="29"/>
    </row>
    <row r="44" spans="1:9" ht="16.5" thickBot="1">
      <c r="A44" s="73" t="s">
        <v>313</v>
      </c>
      <c r="B44" s="79" t="s">
        <v>314</v>
      </c>
      <c r="C44" s="222">
        <v>35.099410852783635</v>
      </c>
      <c r="D44" s="249">
        <f>D36+D35</f>
        <v>32.0615221972231</v>
      </c>
      <c r="E44" s="250"/>
      <c r="F44" s="251"/>
      <c r="I44" s="29"/>
    </row>
    <row r="45" spans="1:9" ht="16.5" thickBot="1">
      <c r="A45" s="69" t="s">
        <v>315</v>
      </c>
      <c r="B45" s="40" t="s">
        <v>316</v>
      </c>
      <c r="C45" s="221">
        <v>5.385084166666675</v>
      </c>
      <c r="D45" s="246">
        <v>0</v>
      </c>
      <c r="E45" s="247"/>
      <c r="F45" s="248"/>
      <c r="I45" s="29"/>
    </row>
    <row r="46" spans="1:9" ht="16.5" thickBot="1">
      <c r="A46" s="69" t="s">
        <v>317</v>
      </c>
      <c r="B46" s="40" t="s">
        <v>318</v>
      </c>
      <c r="C46" s="221">
        <v>29.71432668611696</v>
      </c>
      <c r="D46" s="246">
        <f>D44-D45</f>
        <v>32.0615221972231</v>
      </c>
      <c r="E46" s="247"/>
      <c r="F46" s="252"/>
      <c r="I46" s="29"/>
    </row>
    <row r="47" spans="1:9" ht="15.75">
      <c r="A47" s="70" t="s">
        <v>319</v>
      </c>
      <c r="B47" s="61" t="s">
        <v>26</v>
      </c>
      <c r="C47" s="216"/>
      <c r="D47" s="231"/>
      <c r="E47" s="232"/>
      <c r="F47" s="241"/>
      <c r="I47" s="29"/>
    </row>
    <row r="48" spans="1:9" ht="15.75">
      <c r="A48" s="36"/>
      <c r="B48" s="37" t="s">
        <v>303</v>
      </c>
      <c r="C48" s="219"/>
      <c r="D48" s="242"/>
      <c r="E48" s="243"/>
      <c r="F48" s="237"/>
      <c r="I48" s="29"/>
    </row>
    <row r="49" spans="1:9" ht="15.75">
      <c r="A49" s="36" t="s">
        <v>237</v>
      </c>
      <c r="B49" s="37" t="s">
        <v>17</v>
      </c>
      <c r="C49" s="219"/>
      <c r="D49" s="242"/>
      <c r="E49" s="243"/>
      <c r="F49" s="237"/>
      <c r="I49" s="29"/>
    </row>
    <row r="50" spans="1:9" ht="15.75">
      <c r="A50" s="74" t="s">
        <v>240</v>
      </c>
      <c r="B50" s="37" t="s">
        <v>18</v>
      </c>
      <c r="C50" s="219"/>
      <c r="D50" s="242"/>
      <c r="E50" s="243"/>
      <c r="F50" s="237"/>
      <c r="I50" s="29"/>
    </row>
    <row r="51" spans="1:9" ht="15.75">
      <c r="A51" s="36" t="s">
        <v>297</v>
      </c>
      <c r="B51" s="37" t="s">
        <v>19</v>
      </c>
      <c r="C51" s="219"/>
      <c r="D51" s="242"/>
      <c r="E51" s="243"/>
      <c r="F51" s="236"/>
      <c r="I51" s="29"/>
    </row>
    <row r="52" spans="1:9" ht="16.5" thickBot="1">
      <c r="A52" s="38" t="s">
        <v>299</v>
      </c>
      <c r="B52" s="39" t="s">
        <v>20</v>
      </c>
      <c r="C52" s="218"/>
      <c r="D52" s="238"/>
      <c r="E52" s="239"/>
      <c r="F52" s="253"/>
      <c r="I52" s="29"/>
    </row>
    <row r="53" spans="1:9" ht="15.75">
      <c r="A53" s="70" t="s">
        <v>358</v>
      </c>
      <c r="B53" s="61" t="s">
        <v>24</v>
      </c>
      <c r="C53" s="216"/>
      <c r="D53" s="231"/>
      <c r="E53" s="232"/>
      <c r="F53" s="241"/>
      <c r="I53" s="29"/>
    </row>
    <row r="54" spans="1:9" ht="15.75">
      <c r="A54" s="36" t="s">
        <v>237</v>
      </c>
      <c r="B54" s="194" t="s">
        <v>2</v>
      </c>
      <c r="C54" s="219"/>
      <c r="D54" s="242"/>
      <c r="E54" s="243"/>
      <c r="F54" s="237"/>
      <c r="I54" s="29"/>
    </row>
    <row r="55" spans="1:9" ht="15.75">
      <c r="A55" s="36" t="s">
        <v>240</v>
      </c>
      <c r="B55" s="37" t="s">
        <v>3</v>
      </c>
      <c r="C55" s="219"/>
      <c r="D55" s="242"/>
      <c r="E55" s="243"/>
      <c r="F55" s="237"/>
      <c r="I55" s="29"/>
    </row>
    <row r="56" spans="1:9" ht="16.5" thickBot="1">
      <c r="A56" s="38"/>
      <c r="B56" s="39" t="s">
        <v>4</v>
      </c>
      <c r="C56" s="220"/>
      <c r="D56" s="244"/>
      <c r="E56" s="245"/>
      <c r="F56" s="240"/>
      <c r="I56" s="29"/>
    </row>
    <row r="57" spans="1:9" ht="15.75">
      <c r="A57" s="70" t="s">
        <v>321</v>
      </c>
      <c r="B57" s="61" t="s">
        <v>25</v>
      </c>
      <c r="C57" s="216"/>
      <c r="D57" s="231"/>
      <c r="E57" s="232"/>
      <c r="F57" s="254"/>
      <c r="I57" s="29"/>
    </row>
    <row r="58" spans="1:9" ht="15.75">
      <c r="A58" s="36" t="s">
        <v>237</v>
      </c>
      <c r="B58" s="194" t="s">
        <v>5</v>
      </c>
      <c r="C58" s="219"/>
      <c r="D58" s="242"/>
      <c r="E58" s="243"/>
      <c r="F58" s="237"/>
      <c r="I58" s="29"/>
    </row>
    <row r="59" spans="1:9" ht="15.75">
      <c r="A59" s="36" t="s">
        <v>240</v>
      </c>
      <c r="B59" s="37" t="s">
        <v>6</v>
      </c>
      <c r="C59" s="219"/>
      <c r="D59" s="242"/>
      <c r="E59" s="243"/>
      <c r="F59" s="237"/>
      <c r="I59" s="29"/>
    </row>
    <row r="60" spans="1:9" ht="16.5" thickBot="1">
      <c r="A60" s="38"/>
      <c r="B60" s="39" t="s">
        <v>4</v>
      </c>
      <c r="C60" s="220"/>
      <c r="D60" s="244"/>
      <c r="E60" s="245"/>
      <c r="F60" s="240"/>
      <c r="I60" s="29"/>
    </row>
    <row r="61" spans="1:9" ht="15.75">
      <c r="A61" s="70" t="s">
        <v>324</v>
      </c>
      <c r="B61" s="61" t="s">
        <v>322</v>
      </c>
      <c r="C61" s="216">
        <v>8.17399101944444</v>
      </c>
      <c r="D61" s="231"/>
      <c r="E61" s="232"/>
      <c r="F61" s="241"/>
      <c r="I61" s="29"/>
    </row>
    <row r="62" spans="1:9" ht="15.75">
      <c r="A62" s="34"/>
      <c r="B62" s="37" t="s">
        <v>323</v>
      </c>
      <c r="C62" s="219"/>
      <c r="D62" s="242"/>
      <c r="E62" s="243"/>
      <c r="F62" s="237"/>
      <c r="I62" s="29"/>
    </row>
    <row r="63" spans="1:9" ht="15.75">
      <c r="A63" s="36" t="s">
        <v>237</v>
      </c>
      <c r="B63" s="37" t="s">
        <v>21</v>
      </c>
      <c r="C63" s="219"/>
      <c r="D63" s="242"/>
      <c r="E63" s="243"/>
      <c r="F63" s="237"/>
      <c r="I63" s="29"/>
    </row>
    <row r="64" spans="1:9" ht="15.75">
      <c r="A64" s="36" t="s">
        <v>238</v>
      </c>
      <c r="B64" s="37" t="s">
        <v>331</v>
      </c>
      <c r="C64" s="217"/>
      <c r="D64" s="234"/>
      <c r="E64" s="235"/>
      <c r="F64" s="237"/>
      <c r="I64" s="29"/>
    </row>
    <row r="65" spans="1:9" ht="16.5" thickBot="1">
      <c r="A65" s="38" t="s">
        <v>240</v>
      </c>
      <c r="B65" s="39" t="s">
        <v>22</v>
      </c>
      <c r="C65" s="218">
        <v>8.17399101944444</v>
      </c>
      <c r="D65" s="238"/>
      <c r="E65" s="239"/>
      <c r="F65" s="240"/>
      <c r="I65" s="29"/>
    </row>
    <row r="66" spans="1:9" ht="15.75">
      <c r="A66" s="70" t="s">
        <v>326</v>
      </c>
      <c r="B66" s="61" t="s">
        <v>325</v>
      </c>
      <c r="C66" s="223">
        <v>29.71432668611696</v>
      </c>
      <c r="D66" s="255"/>
      <c r="E66" s="256"/>
      <c r="F66" s="233"/>
      <c r="I66" s="29"/>
    </row>
    <row r="67" spans="1:9" ht="15.75">
      <c r="A67" s="34"/>
      <c r="B67" s="37" t="s">
        <v>361</v>
      </c>
      <c r="C67" s="219"/>
      <c r="D67" s="242"/>
      <c r="E67" s="243"/>
      <c r="F67" s="237"/>
      <c r="I67" s="29"/>
    </row>
    <row r="68" spans="1:9" ht="15.75">
      <c r="A68" s="36" t="s">
        <v>237</v>
      </c>
      <c r="B68" s="37" t="s">
        <v>23</v>
      </c>
      <c r="C68" s="217">
        <v>29.71432668611696</v>
      </c>
      <c r="D68" s="234"/>
      <c r="E68" s="235"/>
      <c r="F68" s="236"/>
      <c r="I68" s="29"/>
    </row>
    <row r="69" spans="1:9" ht="15.75">
      <c r="A69" s="36" t="s">
        <v>238</v>
      </c>
      <c r="B69" s="37" t="s">
        <v>331</v>
      </c>
      <c r="C69" s="217"/>
      <c r="D69" s="234"/>
      <c r="E69" s="235"/>
      <c r="F69" s="257"/>
      <c r="I69" s="29"/>
    </row>
    <row r="70" spans="1:9" ht="16.5" thickBot="1">
      <c r="A70" s="38" t="s">
        <v>240</v>
      </c>
      <c r="B70" s="39" t="s">
        <v>22</v>
      </c>
      <c r="C70" s="218"/>
      <c r="D70" s="238"/>
      <c r="E70" s="239"/>
      <c r="F70" s="253"/>
      <c r="I70" s="29"/>
    </row>
    <row r="71" spans="1:9" ht="16.5" thickBot="1">
      <c r="A71" s="69" t="s">
        <v>327</v>
      </c>
      <c r="B71" s="40" t="s">
        <v>360</v>
      </c>
      <c r="C71" s="221"/>
      <c r="D71" s="246"/>
      <c r="E71" s="247"/>
      <c r="F71" s="248"/>
      <c r="I71" s="29"/>
    </row>
    <row r="72" spans="1:9" ht="15.75">
      <c r="A72" s="71" t="s">
        <v>328</v>
      </c>
      <c r="B72" s="72" t="s">
        <v>32</v>
      </c>
      <c r="C72" s="224"/>
      <c r="D72" s="258"/>
      <c r="E72" s="259"/>
      <c r="F72" s="260"/>
      <c r="I72" s="29"/>
    </row>
    <row r="73" spans="1:9" ht="15.75">
      <c r="A73" s="36" t="s">
        <v>237</v>
      </c>
      <c r="B73" s="37" t="s">
        <v>33</v>
      </c>
      <c r="C73" s="219"/>
      <c r="D73" s="242"/>
      <c r="E73" s="243"/>
      <c r="F73" s="237"/>
      <c r="I73" s="29"/>
    </row>
    <row r="74" spans="1:6" ht="16.5" thickBot="1">
      <c r="A74" s="38" t="s">
        <v>240</v>
      </c>
      <c r="B74" s="39" t="s">
        <v>34</v>
      </c>
      <c r="C74" s="220"/>
      <c r="D74" s="244"/>
      <c r="E74" s="245"/>
      <c r="F74" s="261"/>
    </row>
    <row r="75" spans="1:6" ht="16.5" thickBot="1">
      <c r="A75" s="69" t="s">
        <v>11</v>
      </c>
      <c r="B75" s="40" t="s">
        <v>36</v>
      </c>
      <c r="C75" s="225"/>
      <c r="D75" s="262"/>
      <c r="E75" s="263"/>
      <c r="F75" s="264"/>
    </row>
    <row r="76" spans="1:6" ht="15.75">
      <c r="A76" s="70" t="s">
        <v>12</v>
      </c>
      <c r="B76" s="61" t="s">
        <v>359</v>
      </c>
      <c r="C76" s="216"/>
      <c r="D76" s="231"/>
      <c r="E76" s="232"/>
      <c r="F76" s="265"/>
    </row>
    <row r="77" spans="1:6" ht="16.5" thickBot="1">
      <c r="A77" s="42"/>
      <c r="B77" s="39" t="s">
        <v>331</v>
      </c>
      <c r="C77" s="218"/>
      <c r="D77" s="238"/>
      <c r="E77" s="239"/>
      <c r="F77" s="261"/>
    </row>
    <row r="78" spans="1:6" ht="48" thickBot="1">
      <c r="A78" s="69" t="s">
        <v>12</v>
      </c>
      <c r="B78" s="40" t="s">
        <v>165</v>
      </c>
      <c r="C78" s="281">
        <f>C17+C37+C55+C58+C61+C71+C74+C75</f>
        <v>111.90832188661348</v>
      </c>
      <c r="D78" s="281">
        <f>D17+D37+D55+D58+D61+D71+D74+D75</f>
        <v>133.9608436779661</v>
      </c>
      <c r="E78" s="263"/>
      <c r="F78" s="264"/>
    </row>
    <row r="79" spans="1:6" ht="47.25">
      <c r="A79" s="70" t="s">
        <v>13</v>
      </c>
      <c r="B79" s="61" t="s">
        <v>166</v>
      </c>
      <c r="C79" s="282">
        <f>C21+C41+C54+C59+C45+C71+C66+C73+C76</f>
        <v>103.73433086716904</v>
      </c>
      <c r="D79" s="282">
        <f>D21+D41+D54+D59+D45+D71+D66+D73+D76</f>
        <v>101.899321480743</v>
      </c>
      <c r="E79" s="256"/>
      <c r="F79" s="265"/>
    </row>
    <row r="80" spans="1:6" ht="32.25" thickBot="1">
      <c r="A80" s="75"/>
      <c r="B80" s="82" t="s">
        <v>27</v>
      </c>
      <c r="C80" s="142">
        <f>C78-C79</f>
        <v>8.173991019444443</v>
      </c>
      <c r="D80" s="142">
        <f>D78-D79</f>
        <v>32.0615221972231</v>
      </c>
      <c r="E80" s="266"/>
      <c r="F80" s="267"/>
    </row>
    <row r="81" spans="1:6" ht="16.5" thickBot="1">
      <c r="A81" s="77"/>
      <c r="B81" s="78"/>
      <c r="C81" s="226"/>
      <c r="D81" s="226"/>
      <c r="E81" s="226"/>
      <c r="F81" s="268"/>
    </row>
    <row r="82" spans="1:6" ht="15.75">
      <c r="A82" s="76"/>
      <c r="B82" s="72" t="s">
        <v>329</v>
      </c>
      <c r="C82" s="227"/>
      <c r="D82" s="269"/>
      <c r="E82" s="270"/>
      <c r="F82" s="271"/>
    </row>
    <row r="83" spans="1:6" ht="15.75">
      <c r="A83" s="36" t="s">
        <v>237</v>
      </c>
      <c r="B83" s="37" t="s">
        <v>330</v>
      </c>
      <c r="C83" s="228">
        <v>35.099410852783635</v>
      </c>
      <c r="D83" s="272"/>
      <c r="E83" s="273"/>
      <c r="F83" s="274"/>
    </row>
    <row r="84" spans="1:6" ht="15.75">
      <c r="A84" s="98" t="s">
        <v>65</v>
      </c>
      <c r="B84" s="99" t="s">
        <v>332</v>
      </c>
      <c r="C84" s="229">
        <v>54.41769461110526</v>
      </c>
      <c r="D84" s="275"/>
      <c r="E84" s="276"/>
      <c r="F84" s="267"/>
    </row>
    <row r="85" spans="1:6" ht="16.5" thickBot="1">
      <c r="A85" s="38" t="s">
        <v>66</v>
      </c>
      <c r="B85" s="39" t="s">
        <v>73</v>
      </c>
      <c r="C85" s="230"/>
      <c r="D85" s="277"/>
      <c r="E85" s="278"/>
      <c r="F85" s="261"/>
    </row>
    <row r="87" spans="1:4" ht="15.75">
      <c r="A87" s="44" t="s">
        <v>333</v>
      </c>
      <c r="B87" s="43"/>
      <c r="C87" s="43"/>
      <c r="D87" s="43"/>
    </row>
    <row r="89" spans="1:6" ht="15.75">
      <c r="A89" s="931" t="s">
        <v>375</v>
      </c>
      <c r="B89" s="931"/>
      <c r="C89" s="931"/>
      <c r="D89" s="931"/>
      <c r="E89" s="931"/>
      <c r="F89" s="931"/>
    </row>
  </sheetData>
  <sheetProtection/>
  <mergeCells count="7">
    <mergeCell ref="A89:F89"/>
    <mergeCell ref="A11:F11"/>
    <mergeCell ref="A14:A15"/>
    <mergeCell ref="B14:B15"/>
    <mergeCell ref="C14:D14"/>
    <mergeCell ref="E14:F14"/>
    <mergeCell ref="A12:F1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02"/>
  <sheetViews>
    <sheetView view="pageBreakPreview" zoomScale="75" zoomScaleNormal="75" zoomScaleSheetLayoutView="75" zoomScalePageLayoutView="0" workbookViewId="0" topLeftCell="A64">
      <selection activeCell="B10" sqref="B10"/>
    </sheetView>
  </sheetViews>
  <sheetFormatPr defaultColWidth="9.00390625" defaultRowHeight="15.75"/>
  <cols>
    <col min="1" max="1" width="57.875" style="301" customWidth="1"/>
    <col min="2" max="2" width="64.50390625" style="301" customWidth="1"/>
    <col min="3" max="3" width="28.375" style="816" customWidth="1"/>
    <col min="4" max="6" width="9.00390625" style="303" customWidth="1"/>
    <col min="7" max="7" width="9.75390625" style="481" bestFit="1" customWidth="1"/>
    <col min="8" max="8" width="9.00390625" style="481" customWidth="1"/>
    <col min="9" max="16384" width="9.00390625" style="303" customWidth="1"/>
  </cols>
  <sheetData>
    <row r="1" ht="15.75">
      <c r="B1" s="302" t="s">
        <v>401</v>
      </c>
    </row>
    <row r="2" ht="15.75">
      <c r="B2" s="302" t="s">
        <v>37</v>
      </c>
    </row>
    <row r="3" ht="15.75">
      <c r="B3" s="289" t="s">
        <v>379</v>
      </c>
    </row>
    <row r="4" ht="15.75">
      <c r="B4" s="304"/>
    </row>
    <row r="5" ht="15.75">
      <c r="B5" s="2" t="s">
        <v>38</v>
      </c>
    </row>
    <row r="6" ht="15.75">
      <c r="B6" s="2" t="s">
        <v>647</v>
      </c>
    </row>
    <row r="7" ht="15.75">
      <c r="B7" s="2"/>
    </row>
    <row r="8" ht="15.75">
      <c r="B8" s="2" t="s">
        <v>648</v>
      </c>
    </row>
    <row r="9" ht="15.75">
      <c r="B9" s="2" t="s">
        <v>795</v>
      </c>
    </row>
    <row r="10" ht="15.75">
      <c r="B10" s="2" t="s">
        <v>42</v>
      </c>
    </row>
    <row r="11" ht="15.75">
      <c r="B11" s="305"/>
    </row>
    <row r="12" ht="15.75">
      <c r="B12" s="305"/>
    </row>
    <row r="13" spans="1:2" ht="30.75" customHeight="1">
      <c r="A13" s="1006" t="s">
        <v>789</v>
      </c>
      <c r="B13" s="1007"/>
    </row>
    <row r="14" spans="1:2" ht="32.25" customHeight="1">
      <c r="A14" s="1008" t="str">
        <f>'10 (ТП-2 с. Хаилино)'!A14:B14</f>
        <v>"Реконструкция и развитие электроснабжения АО "Корякэнерго"</v>
      </c>
      <c r="B14" s="1008"/>
    </row>
    <row r="15" ht="16.5" thickBot="1">
      <c r="B15" s="306"/>
    </row>
    <row r="16" spans="1:2" ht="36" customHeight="1" thickBot="1">
      <c r="A16" s="404" t="s">
        <v>274</v>
      </c>
      <c r="B16" s="821" t="str">
        <f>'7.1'!B31</f>
        <v>Автомобиль УАЗ-29891 п.Таежный</v>
      </c>
    </row>
    <row r="17" spans="1:2" ht="16.5" thickBot="1">
      <c r="A17" s="404" t="s">
        <v>402</v>
      </c>
      <c r="B17" s="416" t="s">
        <v>748</v>
      </c>
    </row>
    <row r="18" spans="1:2" ht="16.5" thickBot="1">
      <c r="A18" s="404" t="s">
        <v>403</v>
      </c>
      <c r="B18" s="417"/>
    </row>
    <row r="19" spans="1:2" ht="16.5" thickBot="1">
      <c r="A19" s="404" t="s">
        <v>404</v>
      </c>
      <c r="B19" s="450"/>
    </row>
    <row r="20" spans="1:2" ht="16.5" thickBot="1">
      <c r="A20" s="688" t="s">
        <v>405</v>
      </c>
      <c r="B20" s="451" t="s">
        <v>746</v>
      </c>
    </row>
    <row r="21" spans="1:4" ht="16.5" thickBot="1">
      <c r="A21" s="820" t="s">
        <v>406</v>
      </c>
      <c r="B21" s="459" t="s">
        <v>744</v>
      </c>
      <c r="D21" s="454"/>
    </row>
    <row r="22" spans="1:2" ht="16.5" thickBot="1">
      <c r="A22" s="307" t="s">
        <v>407</v>
      </c>
      <c r="B22" s="398"/>
    </row>
    <row r="23" spans="1:2" ht="30.75" thickBot="1">
      <c r="A23" s="398" t="s">
        <v>409</v>
      </c>
      <c r="B23" s="399"/>
    </row>
    <row r="24" spans="1:2" ht="60.75" thickBot="1">
      <c r="A24" s="401" t="s">
        <v>410</v>
      </c>
      <c r="B24" s="399"/>
    </row>
    <row r="25" spans="1:2" ht="60.75" thickBot="1">
      <c r="A25" s="398" t="s">
        <v>411</v>
      </c>
      <c r="B25" s="398"/>
    </row>
    <row r="26" spans="1:2" ht="16.5" thickBot="1">
      <c r="A26" s="405" t="s">
        <v>412</v>
      </c>
      <c r="B26" s="398"/>
    </row>
    <row r="27" spans="1:2" ht="30.75" thickBot="1">
      <c r="A27" s="398" t="s">
        <v>413</v>
      </c>
      <c r="B27" s="398"/>
    </row>
    <row r="28" spans="1:2" ht="16.5" thickBot="1">
      <c r="A28" s="405" t="s">
        <v>414</v>
      </c>
      <c r="B28" s="398"/>
    </row>
    <row r="29" spans="1:2" ht="30.75" thickBot="1">
      <c r="A29" s="407" t="s">
        <v>415</v>
      </c>
      <c r="B29" s="398"/>
    </row>
    <row r="30" spans="1:2" ht="16.5" thickBot="1">
      <c r="A30" s="405" t="s">
        <v>416</v>
      </c>
      <c r="B30" s="418"/>
    </row>
    <row r="31" spans="1:2" ht="16.5" thickBot="1">
      <c r="A31" s="307" t="s">
        <v>418</v>
      </c>
      <c r="B31" s="452"/>
    </row>
    <row r="32" spans="1:2" ht="18.75" customHeight="1" thickBot="1">
      <c r="A32" s="405" t="s">
        <v>419</v>
      </c>
      <c r="B32" s="431"/>
    </row>
    <row r="33" spans="1:2" ht="28.5">
      <c r="A33" s="307" t="s">
        <v>420</v>
      </c>
      <c r="B33" s="401"/>
    </row>
    <row r="34" spans="1:2" ht="45">
      <c r="A34" s="402" t="s">
        <v>421</v>
      </c>
      <c r="B34" s="402"/>
    </row>
    <row r="35" spans="1:2" ht="15.75">
      <c r="A35" s="402" t="s">
        <v>422</v>
      </c>
      <c r="B35" s="402"/>
    </row>
    <row r="36" spans="1:2" ht="15.75">
      <c r="A36" s="402" t="s">
        <v>423</v>
      </c>
      <c r="B36" s="402"/>
    </row>
    <row r="37" spans="1:2" ht="16.5" thickBot="1">
      <c r="A37" s="408" t="s">
        <v>424</v>
      </c>
      <c r="B37" s="402"/>
    </row>
    <row r="38" spans="1:2" ht="16.5" thickBot="1">
      <c r="A38" s="409" t="s">
        <v>425</v>
      </c>
      <c r="B38" s="420">
        <v>0.99475</v>
      </c>
    </row>
    <row r="39" spans="1:2" ht="16.5" thickBot="1">
      <c r="A39" s="398" t="s">
        <v>426</v>
      </c>
      <c r="B39" s="398"/>
    </row>
    <row r="40" spans="1:2" ht="29.25" thickBot="1">
      <c r="A40" s="410" t="s">
        <v>428</v>
      </c>
      <c r="B40" s="421">
        <f>B41</f>
        <v>1.00757509</v>
      </c>
    </row>
    <row r="41" spans="1:2" ht="29.25" thickBot="1">
      <c r="A41" s="410" t="s">
        <v>429</v>
      </c>
      <c r="B41" s="421">
        <f>B44+B54</f>
        <v>1.00757509</v>
      </c>
    </row>
    <row r="42" spans="1:2" ht="16.5" thickBot="1">
      <c r="A42" s="399" t="s">
        <v>301</v>
      </c>
      <c r="B42" s="421"/>
    </row>
    <row r="43" spans="1:3" ht="29.25" thickBot="1">
      <c r="A43" s="410" t="s">
        <v>430</v>
      </c>
      <c r="B43" s="421"/>
      <c r="C43" s="818"/>
    </row>
    <row r="44" spans="1:2" ht="16.5" thickBot="1">
      <c r="A44" s="399" t="s">
        <v>431</v>
      </c>
      <c r="B44" s="421"/>
    </row>
    <row r="45" spans="1:2" ht="16.5" thickBot="1">
      <c r="A45" s="399" t="s">
        <v>432</v>
      </c>
      <c r="B45" s="399"/>
    </row>
    <row r="46" spans="1:2" ht="16.5" thickBot="1">
      <c r="A46" s="399" t="s">
        <v>433</v>
      </c>
      <c r="B46" s="399"/>
    </row>
    <row r="47" spans="1:2" ht="16.5" thickBot="1">
      <c r="A47" s="399" t="s">
        <v>434</v>
      </c>
      <c r="B47" s="399"/>
    </row>
    <row r="48" spans="1:3" ht="29.25" thickBot="1">
      <c r="A48" s="410" t="s">
        <v>435</v>
      </c>
      <c r="B48" s="399"/>
      <c r="C48" s="818"/>
    </row>
    <row r="49" spans="1:2" ht="16.5" thickBot="1">
      <c r="A49" s="399" t="s">
        <v>431</v>
      </c>
      <c r="B49" s="421"/>
    </row>
    <row r="50" spans="1:2" ht="16.5" thickBot="1">
      <c r="A50" s="399" t="s">
        <v>432</v>
      </c>
      <c r="B50" s="398"/>
    </row>
    <row r="51" spans="1:2" ht="16.5" thickBot="1">
      <c r="A51" s="399" t="s">
        <v>433</v>
      </c>
      <c r="B51" s="398"/>
    </row>
    <row r="52" spans="1:2" ht="16.5" thickBot="1">
      <c r="A52" s="399" t="s">
        <v>434</v>
      </c>
      <c r="B52" s="398"/>
    </row>
    <row r="53" spans="1:2" ht="29.25" thickBot="1">
      <c r="A53" s="410" t="s">
        <v>436</v>
      </c>
      <c r="B53" s="421" t="s">
        <v>749</v>
      </c>
    </row>
    <row r="54" spans="1:2" ht="16.5" thickBot="1">
      <c r="A54" s="399" t="s">
        <v>431</v>
      </c>
      <c r="B54" s="421">
        <v>1.00757509</v>
      </c>
    </row>
    <row r="55" spans="1:2" ht="16.5" thickBot="1">
      <c r="A55" s="399" t="s">
        <v>432</v>
      </c>
      <c r="B55" s="398"/>
    </row>
    <row r="56" spans="1:2" ht="16.5" thickBot="1">
      <c r="A56" s="399" t="s">
        <v>433</v>
      </c>
      <c r="B56" s="398"/>
    </row>
    <row r="57" spans="1:2" ht="16.5" thickBot="1">
      <c r="A57" s="399" t="s">
        <v>434</v>
      </c>
      <c r="B57" s="398"/>
    </row>
    <row r="58" spans="1:2" ht="29.25" thickBot="1">
      <c r="A58" s="411" t="s">
        <v>437</v>
      </c>
      <c r="B58" s="422"/>
    </row>
    <row r="59" spans="1:2" ht="16.5" thickBot="1">
      <c r="A59" s="412" t="s">
        <v>301</v>
      </c>
      <c r="B59" s="422"/>
    </row>
    <row r="60" spans="1:2" ht="16.5" thickBot="1">
      <c r="A60" s="412" t="s">
        <v>438</v>
      </c>
      <c r="B60" s="422"/>
    </row>
    <row r="61" spans="1:2" ht="16.5" thickBot="1">
      <c r="A61" s="412" t="s">
        <v>439</v>
      </c>
      <c r="B61" s="422"/>
    </row>
    <row r="62" spans="1:2" ht="16.5" thickBot="1">
      <c r="A62" s="412" t="s">
        <v>440</v>
      </c>
      <c r="B62" s="422"/>
    </row>
    <row r="63" spans="1:2" ht="16.5" thickBot="1">
      <c r="A63" s="410" t="s">
        <v>441</v>
      </c>
      <c r="B63" s="423">
        <f>B64/B38</f>
        <v>0.29893387283236994</v>
      </c>
    </row>
    <row r="64" spans="1:2" ht="16.5" thickBot="1">
      <c r="A64" s="410" t="s">
        <v>442</v>
      </c>
      <c r="B64" s="424">
        <f>'7.1'!E31</f>
        <v>0.29736447</v>
      </c>
    </row>
    <row r="65" spans="1:2" ht="16.5" thickBot="1">
      <c r="A65" s="410" t="s">
        <v>443</v>
      </c>
      <c r="B65" s="423">
        <f>B66/B38</f>
        <v>0.29893383945715</v>
      </c>
    </row>
    <row r="66" spans="1:2" ht="16.5" thickBot="1">
      <c r="A66" s="409" t="s">
        <v>444</v>
      </c>
      <c r="B66" s="425">
        <f>'7.1'!N31</f>
        <v>0.29736443679999996</v>
      </c>
    </row>
    <row r="67" spans="1:2" ht="15.75">
      <c r="A67" s="307" t="s">
        <v>445</v>
      </c>
      <c r="B67" s="431"/>
    </row>
    <row r="68" spans="1:2" ht="15.75">
      <c r="A68" s="402" t="s">
        <v>446</v>
      </c>
      <c r="B68" s="453"/>
    </row>
    <row r="69" spans="1:2" ht="15.75">
      <c r="A69" s="402" t="s">
        <v>447</v>
      </c>
      <c r="B69" s="453"/>
    </row>
    <row r="70" spans="1:2" ht="15.75">
      <c r="A70" s="402" t="s">
        <v>448</v>
      </c>
      <c r="B70" s="453"/>
    </row>
    <row r="71" spans="1:2" ht="15.75">
      <c r="A71" s="402" t="s">
        <v>449</v>
      </c>
      <c r="B71" s="453"/>
    </row>
    <row r="72" spans="1:2" ht="16.5" thickBot="1">
      <c r="A72" s="403" t="s">
        <v>450</v>
      </c>
      <c r="B72" s="492"/>
    </row>
    <row r="73" spans="1:2" ht="30.75" thickBot="1">
      <c r="A73" s="401" t="s">
        <v>451</v>
      </c>
      <c r="B73" s="398"/>
    </row>
    <row r="74" spans="1:2" ht="29.25" thickBot="1">
      <c r="A74" s="405" t="s">
        <v>453</v>
      </c>
      <c r="B74" s="398"/>
    </row>
    <row r="75" spans="1:2" ht="16.5" thickBot="1">
      <c r="A75" s="401" t="s">
        <v>301</v>
      </c>
      <c r="B75" s="400"/>
    </row>
    <row r="76" spans="1:2" ht="16.5" thickBot="1">
      <c r="A76" s="401" t="s">
        <v>454</v>
      </c>
      <c r="B76" s="398"/>
    </row>
    <row r="77" spans="1:2" ht="16.5" thickBot="1">
      <c r="A77" s="401" t="s">
        <v>455</v>
      </c>
      <c r="B77" s="400"/>
    </row>
    <row r="78" spans="1:2" ht="16.5" thickBot="1">
      <c r="A78" s="307" t="s">
        <v>456</v>
      </c>
      <c r="B78" s="401"/>
    </row>
    <row r="79" spans="1:2" ht="16.5" thickBot="1">
      <c r="A79" s="405" t="s">
        <v>457</v>
      </c>
      <c r="B79" s="401"/>
    </row>
    <row r="80" spans="1:2" ht="16.5" thickBot="1">
      <c r="A80" s="402" t="s">
        <v>458</v>
      </c>
      <c r="B80" s="400"/>
    </row>
    <row r="81" spans="1:2" ht="16.5" thickBot="1">
      <c r="A81" s="402" t="s">
        <v>459</v>
      </c>
      <c r="B81" s="400"/>
    </row>
    <row r="82" spans="1:2" ht="16.5" thickBot="1">
      <c r="A82" s="402" t="s">
        <v>460</v>
      </c>
      <c r="B82" s="400"/>
    </row>
    <row r="83" spans="1:2" ht="29.25" thickBot="1">
      <c r="A83" s="819" t="s">
        <v>461</v>
      </c>
      <c r="B83" s="551"/>
    </row>
    <row r="84" spans="1:2" ht="28.5">
      <c r="A84" s="307" t="s">
        <v>462</v>
      </c>
      <c r="B84" s="1009"/>
    </row>
    <row r="85" spans="1:2" ht="15.75">
      <c r="A85" s="402" t="s">
        <v>463</v>
      </c>
      <c r="B85" s="1010"/>
    </row>
    <row r="86" spans="1:2" ht="15.75">
      <c r="A86" s="402" t="s">
        <v>464</v>
      </c>
      <c r="B86" s="1010"/>
    </row>
    <row r="87" spans="1:2" ht="15.75">
      <c r="A87" s="402" t="s">
        <v>465</v>
      </c>
      <c r="B87" s="1010"/>
    </row>
    <row r="88" spans="1:2" ht="15.75">
      <c r="A88" s="402" t="s">
        <v>466</v>
      </c>
      <c r="B88" s="1010"/>
    </row>
    <row r="89" spans="1:2" ht="16.5" thickBot="1">
      <c r="A89" s="413" t="s">
        <v>467</v>
      </c>
      <c r="B89" s="1011"/>
    </row>
    <row r="91" spans="1:2" ht="15.75">
      <c r="A91" s="308" t="s">
        <v>468</v>
      </c>
      <c r="B91" s="308"/>
    </row>
    <row r="92" ht="15.75">
      <c r="A92" s="301" t="s">
        <v>469</v>
      </c>
    </row>
    <row r="93" ht="15.75">
      <c r="A93" s="301" t="s">
        <v>470</v>
      </c>
    </row>
    <row r="94" ht="15.75">
      <c r="A94" s="301" t="s">
        <v>471</v>
      </c>
    </row>
    <row r="95" ht="15.75">
      <c r="A95" s="301" t="s">
        <v>472</v>
      </c>
    </row>
    <row r="96" ht="15.75">
      <c r="A96" s="301" t="s">
        <v>473</v>
      </c>
    </row>
    <row r="97" ht="15.75">
      <c r="A97" s="301" t="s">
        <v>474</v>
      </c>
    </row>
    <row r="98" spans="1:2" ht="15.75">
      <c r="A98" s="1012" t="s">
        <v>475</v>
      </c>
      <c r="B98" s="1012"/>
    </row>
    <row r="100" spans="1:2" ht="15.75">
      <c r="A100" s="1013" t="str">
        <f>8!A52:M52</f>
        <v>Заместитель генерального директора по экономике, финансам и сбыту                                                                                                        Е.Ю.Лукьяненко</v>
      </c>
      <c r="B100" s="1013"/>
    </row>
    <row r="101" ht="15.75">
      <c r="B101" s="309"/>
    </row>
    <row r="102" ht="15.75">
      <c r="B102" s="310"/>
    </row>
  </sheetData>
  <sheetProtection/>
  <mergeCells count="5">
    <mergeCell ref="A13:B13"/>
    <mergeCell ref="A14:B14"/>
    <mergeCell ref="B84:B89"/>
    <mergeCell ref="A98:B98"/>
    <mergeCell ref="A100:B10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02"/>
  <sheetViews>
    <sheetView view="pageBreakPreview" zoomScale="75" zoomScaleNormal="75" zoomScaleSheetLayoutView="75" zoomScalePageLayoutView="0" workbookViewId="0" topLeftCell="A43">
      <selection activeCell="B64" sqref="B64"/>
    </sheetView>
  </sheetViews>
  <sheetFormatPr defaultColWidth="9.00390625" defaultRowHeight="15.75"/>
  <cols>
    <col min="1" max="1" width="57.875" style="301" customWidth="1"/>
    <col min="2" max="2" width="64.50390625" style="301" customWidth="1"/>
    <col min="3" max="3" width="28.375" style="816" customWidth="1"/>
    <col min="4" max="6" width="9.00390625" style="303" customWidth="1"/>
    <col min="7" max="7" width="9.75390625" style="481" bestFit="1" customWidth="1"/>
    <col min="8" max="8" width="9.00390625" style="481" customWidth="1"/>
    <col min="9" max="16384" width="9.00390625" style="303" customWidth="1"/>
  </cols>
  <sheetData>
    <row r="1" ht="15.75">
      <c r="B1" s="302" t="s">
        <v>401</v>
      </c>
    </row>
    <row r="2" ht="15.75">
      <c r="B2" s="302" t="s">
        <v>37</v>
      </c>
    </row>
    <row r="3" ht="15.75">
      <c r="B3" s="289" t="s">
        <v>379</v>
      </c>
    </row>
    <row r="4" ht="15.75">
      <c r="B4" s="304"/>
    </row>
    <row r="5" ht="15.75">
      <c r="B5" s="2" t="s">
        <v>38</v>
      </c>
    </row>
    <row r="6" ht="15.75">
      <c r="B6" s="2" t="s">
        <v>647</v>
      </c>
    </row>
    <row r="7" ht="15.75">
      <c r="B7" s="2"/>
    </row>
    <row r="8" ht="15.75">
      <c r="B8" s="2" t="s">
        <v>648</v>
      </c>
    </row>
    <row r="9" ht="15.75">
      <c r="B9" s="2" t="s">
        <v>795</v>
      </c>
    </row>
    <row r="10" ht="15.75">
      <c r="B10" s="2" t="s">
        <v>42</v>
      </c>
    </row>
    <row r="11" ht="15.75">
      <c r="B11" s="305"/>
    </row>
    <row r="12" ht="15.75">
      <c r="B12" s="305"/>
    </row>
    <row r="13" spans="1:2" ht="30.75" customHeight="1">
      <c r="A13" s="1006" t="s">
        <v>789</v>
      </c>
      <c r="B13" s="1007"/>
    </row>
    <row r="14" spans="1:2" ht="32.25" customHeight="1">
      <c r="A14" s="1008" t="str">
        <f>'10 (ТП-2 с. Хаилино)'!A14:B14</f>
        <v>"Реконструкция и развитие электроснабжения АО "Корякэнерго"</v>
      </c>
      <c r="B14" s="1008"/>
    </row>
    <row r="15" ht="16.5" thickBot="1">
      <c r="B15" s="306"/>
    </row>
    <row r="16" spans="1:2" ht="36" customHeight="1" thickBot="1">
      <c r="A16" s="404" t="s">
        <v>274</v>
      </c>
      <c r="B16" s="821" t="str">
        <f>'7.1'!B32</f>
        <v>Грузовой автомобиль с манипулятором FUSO Canter Аппарат управления</v>
      </c>
    </row>
    <row r="17" spans="1:2" ht="16.5" thickBot="1">
      <c r="A17" s="404" t="s">
        <v>402</v>
      </c>
      <c r="B17" s="416" t="s">
        <v>750</v>
      </c>
    </row>
    <row r="18" spans="1:2" ht="16.5" thickBot="1">
      <c r="A18" s="404" t="s">
        <v>403</v>
      </c>
      <c r="B18" s="417"/>
    </row>
    <row r="19" spans="1:2" ht="16.5" thickBot="1">
      <c r="A19" s="404" t="s">
        <v>404</v>
      </c>
      <c r="B19" s="450"/>
    </row>
    <row r="20" spans="1:2" ht="16.5" thickBot="1">
      <c r="A20" s="688" t="s">
        <v>405</v>
      </c>
      <c r="B20" s="451" t="s">
        <v>730</v>
      </c>
    </row>
    <row r="21" spans="1:4" ht="16.5" thickBot="1">
      <c r="A21" s="820" t="s">
        <v>406</v>
      </c>
      <c r="B21" s="459" t="s">
        <v>744</v>
      </c>
      <c r="D21" s="454"/>
    </row>
    <row r="22" spans="1:2" ht="16.5" thickBot="1">
      <c r="A22" s="307" t="s">
        <v>407</v>
      </c>
      <c r="B22" s="398"/>
    </row>
    <row r="23" spans="1:2" ht="30.75" thickBot="1">
      <c r="A23" s="398" t="s">
        <v>409</v>
      </c>
      <c r="B23" s="399"/>
    </row>
    <row r="24" spans="1:2" ht="60.75" thickBot="1">
      <c r="A24" s="401" t="s">
        <v>410</v>
      </c>
      <c r="B24" s="399"/>
    </row>
    <row r="25" spans="1:2" ht="60.75" thickBot="1">
      <c r="A25" s="398" t="s">
        <v>411</v>
      </c>
      <c r="B25" s="398"/>
    </row>
    <row r="26" spans="1:2" ht="16.5" thickBot="1">
      <c r="A26" s="405" t="s">
        <v>412</v>
      </c>
      <c r="B26" s="398"/>
    </row>
    <row r="27" spans="1:2" ht="30.75" thickBot="1">
      <c r="A27" s="398" t="s">
        <v>413</v>
      </c>
      <c r="B27" s="398"/>
    </row>
    <row r="28" spans="1:2" ht="16.5" thickBot="1">
      <c r="A28" s="405" t="s">
        <v>414</v>
      </c>
      <c r="B28" s="398"/>
    </row>
    <row r="29" spans="1:2" ht="30.75" thickBot="1">
      <c r="A29" s="407" t="s">
        <v>415</v>
      </c>
      <c r="B29" s="398"/>
    </row>
    <row r="30" spans="1:2" ht="16.5" thickBot="1">
      <c r="A30" s="405" t="s">
        <v>416</v>
      </c>
      <c r="B30" s="418"/>
    </row>
    <row r="31" spans="1:2" ht="16.5" thickBot="1">
      <c r="A31" s="307" t="s">
        <v>418</v>
      </c>
      <c r="B31" s="452"/>
    </row>
    <row r="32" spans="1:2" ht="18.75" customHeight="1" thickBot="1">
      <c r="A32" s="405" t="s">
        <v>419</v>
      </c>
      <c r="B32" s="431"/>
    </row>
    <row r="33" spans="1:2" ht="28.5">
      <c r="A33" s="307" t="s">
        <v>420</v>
      </c>
      <c r="B33" s="401"/>
    </row>
    <row r="34" spans="1:2" ht="45">
      <c r="A34" s="402" t="s">
        <v>421</v>
      </c>
      <c r="B34" s="402"/>
    </row>
    <row r="35" spans="1:2" ht="15.75">
      <c r="A35" s="402" t="s">
        <v>422</v>
      </c>
      <c r="B35" s="402"/>
    </row>
    <row r="36" spans="1:2" ht="15.75">
      <c r="A36" s="402" t="s">
        <v>423</v>
      </c>
      <c r="B36" s="402"/>
    </row>
    <row r="37" spans="1:2" ht="16.5" thickBot="1">
      <c r="A37" s="408" t="s">
        <v>424</v>
      </c>
      <c r="B37" s="402"/>
    </row>
    <row r="38" spans="1:2" ht="16.5" thickBot="1">
      <c r="A38" s="409" t="s">
        <v>425</v>
      </c>
      <c r="B38" s="420">
        <v>3.88949963</v>
      </c>
    </row>
    <row r="39" spans="1:2" ht="16.5" thickBot="1">
      <c r="A39" s="398" t="s">
        <v>426</v>
      </c>
      <c r="B39" s="398"/>
    </row>
    <row r="40" spans="1:2" ht="29.25" thickBot="1">
      <c r="A40" s="410" t="s">
        <v>428</v>
      </c>
      <c r="B40" s="421">
        <f>B41</f>
        <v>3.88949963</v>
      </c>
    </row>
    <row r="41" spans="1:2" ht="29.25" thickBot="1">
      <c r="A41" s="410" t="s">
        <v>429</v>
      </c>
      <c r="B41" s="421">
        <f>B44+B54</f>
        <v>3.88949963</v>
      </c>
    </row>
    <row r="42" spans="1:2" ht="16.5" thickBot="1">
      <c r="A42" s="399" t="s">
        <v>301</v>
      </c>
      <c r="B42" s="421"/>
    </row>
    <row r="43" spans="1:3" ht="29.25" thickBot="1">
      <c r="A43" s="410" t="s">
        <v>430</v>
      </c>
      <c r="B43" s="421"/>
      <c r="C43" s="818"/>
    </row>
    <row r="44" spans="1:2" ht="16.5" thickBot="1">
      <c r="A44" s="399" t="s">
        <v>431</v>
      </c>
      <c r="B44" s="421"/>
    </row>
    <row r="45" spans="1:2" ht="16.5" thickBot="1">
      <c r="A45" s="399" t="s">
        <v>432</v>
      </c>
      <c r="B45" s="399"/>
    </row>
    <row r="46" spans="1:2" ht="16.5" thickBot="1">
      <c r="A46" s="399" t="s">
        <v>433</v>
      </c>
      <c r="B46" s="399"/>
    </row>
    <row r="47" spans="1:2" ht="16.5" thickBot="1">
      <c r="A47" s="399" t="s">
        <v>434</v>
      </c>
      <c r="B47" s="399"/>
    </row>
    <row r="48" spans="1:3" ht="29.25" thickBot="1">
      <c r="A48" s="410" t="s">
        <v>435</v>
      </c>
      <c r="B48" s="399"/>
      <c r="C48" s="818"/>
    </row>
    <row r="49" spans="1:2" ht="16.5" thickBot="1">
      <c r="A49" s="399" t="s">
        <v>431</v>
      </c>
      <c r="B49" s="421"/>
    </row>
    <row r="50" spans="1:2" ht="16.5" thickBot="1">
      <c r="A50" s="399" t="s">
        <v>432</v>
      </c>
      <c r="B50" s="398"/>
    </row>
    <row r="51" spans="1:2" ht="16.5" thickBot="1">
      <c r="A51" s="399" t="s">
        <v>433</v>
      </c>
      <c r="B51" s="398"/>
    </row>
    <row r="52" spans="1:2" ht="16.5" thickBot="1">
      <c r="A52" s="399" t="s">
        <v>434</v>
      </c>
      <c r="B52" s="398"/>
    </row>
    <row r="53" spans="1:2" ht="29.25" thickBot="1">
      <c r="A53" s="410" t="s">
        <v>436</v>
      </c>
      <c r="B53" s="421" t="s">
        <v>751</v>
      </c>
    </row>
    <row r="54" spans="1:2" ht="16.5" thickBot="1">
      <c r="A54" s="399" t="s">
        <v>431</v>
      </c>
      <c r="B54" s="421">
        <v>3.88949963</v>
      </c>
    </row>
    <row r="55" spans="1:2" ht="16.5" thickBot="1">
      <c r="A55" s="399" t="s">
        <v>432</v>
      </c>
      <c r="B55" s="398"/>
    </row>
    <row r="56" spans="1:2" ht="16.5" thickBot="1">
      <c r="A56" s="399" t="s">
        <v>433</v>
      </c>
      <c r="B56" s="398"/>
    </row>
    <row r="57" spans="1:2" ht="16.5" thickBot="1">
      <c r="A57" s="399" t="s">
        <v>434</v>
      </c>
      <c r="B57" s="398"/>
    </row>
    <row r="58" spans="1:2" ht="29.25" thickBot="1">
      <c r="A58" s="411" t="s">
        <v>437</v>
      </c>
      <c r="B58" s="422"/>
    </row>
    <row r="59" spans="1:2" ht="16.5" thickBot="1">
      <c r="A59" s="412" t="s">
        <v>301</v>
      </c>
      <c r="B59" s="422"/>
    </row>
    <row r="60" spans="1:2" ht="16.5" thickBot="1">
      <c r="A60" s="412" t="s">
        <v>438</v>
      </c>
      <c r="B60" s="422"/>
    </row>
    <row r="61" spans="1:2" ht="16.5" thickBot="1">
      <c r="A61" s="412" t="s">
        <v>439</v>
      </c>
      <c r="B61" s="422"/>
    </row>
    <row r="62" spans="1:2" ht="16.5" thickBot="1">
      <c r="A62" s="412" t="s">
        <v>440</v>
      </c>
      <c r="B62" s="422"/>
    </row>
    <row r="63" spans="1:2" ht="16.5" thickBot="1">
      <c r="A63" s="410" t="s">
        <v>441</v>
      </c>
      <c r="B63" s="423">
        <f>B64/B38</f>
        <v>0.28534083701661134</v>
      </c>
    </row>
    <row r="64" spans="1:2" ht="16.5" thickBot="1">
      <c r="A64" s="410" t="s">
        <v>442</v>
      </c>
      <c r="B64" s="424">
        <f>'7.1'!E32</f>
        <v>1.10983308</v>
      </c>
    </row>
    <row r="65" spans="1:2" ht="16.5" thickBot="1">
      <c r="A65" s="410" t="s">
        <v>443</v>
      </c>
      <c r="B65" s="423">
        <f>B66/B38</f>
        <v>0.285340828377968</v>
      </c>
    </row>
    <row r="66" spans="1:2" ht="16.5" thickBot="1">
      <c r="A66" s="409" t="s">
        <v>444</v>
      </c>
      <c r="B66" s="425">
        <f>'7.1'!N32</f>
        <v>1.1098330464</v>
      </c>
    </row>
    <row r="67" spans="1:2" ht="15.75">
      <c r="A67" s="307" t="s">
        <v>445</v>
      </c>
      <c r="B67" s="431"/>
    </row>
    <row r="68" spans="1:2" ht="15.75">
      <c r="A68" s="402" t="s">
        <v>446</v>
      </c>
      <c r="B68" s="453"/>
    </row>
    <row r="69" spans="1:2" ht="15.75">
      <c r="A69" s="402" t="s">
        <v>447</v>
      </c>
      <c r="B69" s="453"/>
    </row>
    <row r="70" spans="1:2" ht="15.75">
      <c r="A70" s="402" t="s">
        <v>448</v>
      </c>
      <c r="B70" s="453"/>
    </row>
    <row r="71" spans="1:2" ht="15.75">
      <c r="A71" s="402" t="s">
        <v>449</v>
      </c>
      <c r="B71" s="453"/>
    </row>
    <row r="72" spans="1:2" ht="16.5" thickBot="1">
      <c r="A72" s="403" t="s">
        <v>450</v>
      </c>
      <c r="B72" s="492"/>
    </row>
    <row r="73" spans="1:2" ht="30.75" thickBot="1">
      <c r="A73" s="401" t="s">
        <v>451</v>
      </c>
      <c r="B73" s="398"/>
    </row>
    <row r="74" spans="1:2" ht="29.25" thickBot="1">
      <c r="A74" s="405" t="s">
        <v>453</v>
      </c>
      <c r="B74" s="398"/>
    </row>
    <row r="75" spans="1:2" ht="16.5" thickBot="1">
      <c r="A75" s="401" t="s">
        <v>301</v>
      </c>
      <c r="B75" s="400"/>
    </row>
    <row r="76" spans="1:2" ht="16.5" thickBot="1">
      <c r="A76" s="401" t="s">
        <v>454</v>
      </c>
      <c r="B76" s="398"/>
    </row>
    <row r="77" spans="1:2" ht="16.5" thickBot="1">
      <c r="A77" s="401" t="s">
        <v>455</v>
      </c>
      <c r="B77" s="400"/>
    </row>
    <row r="78" spans="1:2" ht="16.5" thickBot="1">
      <c r="A78" s="307" t="s">
        <v>456</v>
      </c>
      <c r="B78" s="401"/>
    </row>
    <row r="79" spans="1:2" ht="16.5" thickBot="1">
      <c r="A79" s="405" t="s">
        <v>457</v>
      </c>
      <c r="B79" s="401"/>
    </row>
    <row r="80" spans="1:2" ht="16.5" thickBot="1">
      <c r="A80" s="402" t="s">
        <v>458</v>
      </c>
      <c r="B80" s="400"/>
    </row>
    <row r="81" spans="1:2" ht="16.5" thickBot="1">
      <c r="A81" s="402" t="s">
        <v>459</v>
      </c>
      <c r="B81" s="400"/>
    </row>
    <row r="82" spans="1:2" ht="16.5" thickBot="1">
      <c r="A82" s="402" t="s">
        <v>460</v>
      </c>
      <c r="B82" s="400"/>
    </row>
    <row r="83" spans="1:2" ht="29.25" thickBot="1">
      <c r="A83" s="819" t="s">
        <v>461</v>
      </c>
      <c r="B83" s="551"/>
    </row>
    <row r="84" spans="1:2" ht="28.5">
      <c r="A84" s="307" t="s">
        <v>462</v>
      </c>
      <c r="B84" s="1009"/>
    </row>
    <row r="85" spans="1:2" ht="15.75">
      <c r="A85" s="402" t="s">
        <v>463</v>
      </c>
      <c r="B85" s="1010"/>
    </row>
    <row r="86" spans="1:2" ht="15.75">
      <c r="A86" s="402" t="s">
        <v>464</v>
      </c>
      <c r="B86" s="1010"/>
    </row>
    <row r="87" spans="1:2" ht="15.75">
      <c r="A87" s="402" t="s">
        <v>465</v>
      </c>
      <c r="B87" s="1010"/>
    </row>
    <row r="88" spans="1:2" ht="15.75">
      <c r="A88" s="402" t="s">
        <v>466</v>
      </c>
      <c r="B88" s="1010"/>
    </row>
    <row r="89" spans="1:2" ht="16.5" thickBot="1">
      <c r="A89" s="413" t="s">
        <v>467</v>
      </c>
      <c r="B89" s="1011"/>
    </row>
    <row r="91" spans="1:2" ht="15.75">
      <c r="A91" s="308" t="s">
        <v>468</v>
      </c>
      <c r="B91" s="308"/>
    </row>
    <row r="92" ht="15.75">
      <c r="A92" s="301" t="s">
        <v>469</v>
      </c>
    </row>
    <row r="93" ht="15.75">
      <c r="A93" s="301" t="s">
        <v>470</v>
      </c>
    </row>
    <row r="94" ht="15.75">
      <c r="A94" s="301" t="s">
        <v>471</v>
      </c>
    </row>
    <row r="95" ht="15.75">
      <c r="A95" s="301" t="s">
        <v>472</v>
      </c>
    </row>
    <row r="96" ht="15.75">
      <c r="A96" s="301" t="s">
        <v>473</v>
      </c>
    </row>
    <row r="97" ht="15.75">
      <c r="A97" s="301" t="s">
        <v>474</v>
      </c>
    </row>
    <row r="98" spans="1:2" ht="15.75">
      <c r="A98" s="1012" t="s">
        <v>475</v>
      </c>
      <c r="B98" s="1012"/>
    </row>
    <row r="100" spans="1:2" ht="15.75">
      <c r="A100" s="1013" t="str">
        <f>8!A52:M52</f>
        <v>Заместитель генерального директора по экономике, финансам и сбыту                                                                                                        Е.Ю.Лукьяненко</v>
      </c>
      <c r="B100" s="1013"/>
    </row>
    <row r="101" ht="15.75">
      <c r="B101" s="309"/>
    </row>
    <row r="102" ht="15.75">
      <c r="B102" s="310"/>
    </row>
  </sheetData>
  <sheetProtection/>
  <mergeCells count="5">
    <mergeCell ref="A13:B13"/>
    <mergeCell ref="A14:B14"/>
    <mergeCell ref="B84:B89"/>
    <mergeCell ref="A98:B98"/>
    <mergeCell ref="A100:B10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02"/>
  <sheetViews>
    <sheetView view="pageBreakPreview" zoomScale="75" zoomScaleNormal="75" zoomScaleSheetLayoutView="75" zoomScalePageLayoutView="0" workbookViewId="0" topLeftCell="A34">
      <selection activeCell="B10" sqref="B10"/>
    </sheetView>
  </sheetViews>
  <sheetFormatPr defaultColWidth="9.00390625" defaultRowHeight="15.75"/>
  <cols>
    <col min="1" max="1" width="57.875" style="301" customWidth="1"/>
    <col min="2" max="2" width="64.50390625" style="301" customWidth="1"/>
    <col min="3" max="3" width="28.375" style="816" customWidth="1"/>
    <col min="4" max="6" width="9.00390625" style="303" customWidth="1"/>
    <col min="7" max="7" width="9.75390625" style="481" bestFit="1" customWidth="1"/>
    <col min="8" max="8" width="9.00390625" style="481" customWidth="1"/>
    <col min="9" max="16384" width="9.00390625" style="303" customWidth="1"/>
  </cols>
  <sheetData>
    <row r="1" ht="15.75">
      <c r="B1" s="302" t="s">
        <v>401</v>
      </c>
    </row>
    <row r="2" ht="15.75">
      <c r="B2" s="302" t="s">
        <v>37</v>
      </c>
    </row>
    <row r="3" ht="15.75">
      <c r="B3" s="289" t="s">
        <v>379</v>
      </c>
    </row>
    <row r="4" ht="15.75">
      <c r="B4" s="304"/>
    </row>
    <row r="5" ht="15.75">
      <c r="B5" s="2" t="s">
        <v>38</v>
      </c>
    </row>
    <row r="6" ht="15.75">
      <c r="B6" s="2" t="s">
        <v>647</v>
      </c>
    </row>
    <row r="7" ht="15.75">
      <c r="B7" s="2"/>
    </row>
    <row r="8" ht="15.75">
      <c r="B8" s="2" t="s">
        <v>648</v>
      </c>
    </row>
    <row r="9" ht="15.75">
      <c r="B9" s="2" t="s">
        <v>795</v>
      </c>
    </row>
    <row r="10" ht="15.75">
      <c r="B10" s="2" t="s">
        <v>42</v>
      </c>
    </row>
    <row r="11" ht="15.75">
      <c r="B11" s="305"/>
    </row>
    <row r="12" ht="15.75">
      <c r="B12" s="305"/>
    </row>
    <row r="13" spans="1:2" ht="30.75" customHeight="1">
      <c r="A13" s="1006" t="s">
        <v>789</v>
      </c>
      <c r="B13" s="1007"/>
    </row>
    <row r="14" spans="1:2" ht="32.25" customHeight="1">
      <c r="A14" s="1008" t="str">
        <f>'10 (ТП-2 с. Хаилино)'!A14:B14</f>
        <v>"Реконструкция и развитие электроснабжения АО "Корякэнерго"</v>
      </c>
      <c r="B14" s="1008"/>
    </row>
    <row r="15" ht="16.5" thickBot="1">
      <c r="B15" s="306"/>
    </row>
    <row r="16" spans="1:2" ht="36" customHeight="1" thickBot="1">
      <c r="A16" s="404" t="s">
        <v>274</v>
      </c>
      <c r="B16" s="821" t="str">
        <f>'7.1'!B33</f>
        <v>Автокран КС-45721-17 "Челябинец" с.Усть-Хайрюзово</v>
      </c>
    </row>
    <row r="17" spans="1:2" ht="16.5" thickBot="1">
      <c r="A17" s="404" t="s">
        <v>402</v>
      </c>
      <c r="B17" s="416" t="s">
        <v>569</v>
      </c>
    </row>
    <row r="18" spans="1:2" ht="16.5" thickBot="1">
      <c r="A18" s="404" t="s">
        <v>403</v>
      </c>
      <c r="B18" s="417"/>
    </row>
    <row r="19" spans="1:2" ht="16.5" thickBot="1">
      <c r="A19" s="404" t="s">
        <v>404</v>
      </c>
      <c r="B19" s="450"/>
    </row>
    <row r="20" spans="1:2" ht="16.5" thickBot="1">
      <c r="A20" s="688" t="s">
        <v>405</v>
      </c>
      <c r="B20" s="451" t="s">
        <v>752</v>
      </c>
    </row>
    <row r="21" spans="1:4" ht="16.5" thickBot="1">
      <c r="A21" s="820" t="s">
        <v>406</v>
      </c>
      <c r="B21" s="459" t="s">
        <v>744</v>
      </c>
      <c r="D21" s="454"/>
    </row>
    <row r="22" spans="1:2" ht="16.5" thickBot="1">
      <c r="A22" s="307" t="s">
        <v>407</v>
      </c>
      <c r="B22" s="398"/>
    </row>
    <row r="23" spans="1:2" ht="30.75" thickBot="1">
      <c r="A23" s="398" t="s">
        <v>409</v>
      </c>
      <c r="B23" s="399"/>
    </row>
    <row r="24" spans="1:2" ht="60.75" thickBot="1">
      <c r="A24" s="401" t="s">
        <v>410</v>
      </c>
      <c r="B24" s="399"/>
    </row>
    <row r="25" spans="1:2" ht="60.75" thickBot="1">
      <c r="A25" s="398" t="s">
        <v>411</v>
      </c>
      <c r="B25" s="398"/>
    </row>
    <row r="26" spans="1:2" ht="16.5" thickBot="1">
      <c r="A26" s="405" t="s">
        <v>412</v>
      </c>
      <c r="B26" s="398"/>
    </row>
    <row r="27" spans="1:2" ht="30.75" thickBot="1">
      <c r="A27" s="398" t="s">
        <v>413</v>
      </c>
      <c r="B27" s="398"/>
    </row>
    <row r="28" spans="1:2" ht="16.5" thickBot="1">
      <c r="A28" s="405" t="s">
        <v>414</v>
      </c>
      <c r="B28" s="398"/>
    </row>
    <row r="29" spans="1:2" ht="30.75" thickBot="1">
      <c r="A29" s="407" t="s">
        <v>415</v>
      </c>
      <c r="B29" s="398"/>
    </row>
    <row r="30" spans="1:2" ht="16.5" thickBot="1">
      <c r="A30" s="405" t="s">
        <v>416</v>
      </c>
      <c r="B30" s="418"/>
    </row>
    <row r="31" spans="1:2" ht="16.5" thickBot="1">
      <c r="A31" s="307" t="s">
        <v>418</v>
      </c>
      <c r="B31" s="452"/>
    </row>
    <row r="32" spans="1:2" ht="18.75" customHeight="1" thickBot="1">
      <c r="A32" s="405" t="s">
        <v>419</v>
      </c>
      <c r="B32" s="431"/>
    </row>
    <row r="33" spans="1:2" ht="28.5">
      <c r="A33" s="307" t="s">
        <v>420</v>
      </c>
      <c r="B33" s="401"/>
    </row>
    <row r="34" spans="1:2" ht="45">
      <c r="A34" s="402" t="s">
        <v>421</v>
      </c>
      <c r="B34" s="402"/>
    </row>
    <row r="35" spans="1:2" ht="15.75">
      <c r="A35" s="402" t="s">
        <v>422</v>
      </c>
      <c r="B35" s="402"/>
    </row>
    <row r="36" spans="1:2" ht="15.75">
      <c r="A36" s="402" t="s">
        <v>423</v>
      </c>
      <c r="B36" s="402"/>
    </row>
    <row r="37" spans="1:2" ht="16.5" thickBot="1">
      <c r="A37" s="408" t="s">
        <v>424</v>
      </c>
      <c r="B37" s="402"/>
    </row>
    <row r="38" spans="1:2" ht="16.5" thickBot="1">
      <c r="A38" s="409" t="s">
        <v>425</v>
      </c>
      <c r="B38" s="420">
        <v>8.56555594</v>
      </c>
    </row>
    <row r="39" spans="1:2" ht="16.5" thickBot="1">
      <c r="A39" s="398" t="s">
        <v>426</v>
      </c>
      <c r="B39" s="398"/>
    </row>
    <row r="40" spans="1:2" ht="29.25" thickBot="1">
      <c r="A40" s="410" t="s">
        <v>428</v>
      </c>
      <c r="B40" s="421">
        <f>B41</f>
        <v>8.56555594</v>
      </c>
    </row>
    <row r="41" spans="1:2" ht="29.25" thickBot="1">
      <c r="A41" s="410" t="s">
        <v>429</v>
      </c>
      <c r="B41" s="421">
        <f>B44+B54</f>
        <v>8.56555594</v>
      </c>
    </row>
    <row r="42" spans="1:2" ht="16.5" thickBot="1">
      <c r="A42" s="399" t="s">
        <v>301</v>
      </c>
      <c r="B42" s="421"/>
    </row>
    <row r="43" spans="1:3" ht="29.25" thickBot="1">
      <c r="A43" s="410" t="s">
        <v>430</v>
      </c>
      <c r="B43" s="421"/>
      <c r="C43" s="818"/>
    </row>
    <row r="44" spans="1:2" ht="16.5" thickBot="1">
      <c r="A44" s="399" t="s">
        <v>431</v>
      </c>
      <c r="B44" s="421"/>
    </row>
    <row r="45" spans="1:2" ht="16.5" thickBot="1">
      <c r="A45" s="399" t="s">
        <v>432</v>
      </c>
      <c r="B45" s="399"/>
    </row>
    <row r="46" spans="1:2" ht="16.5" thickBot="1">
      <c r="A46" s="399" t="s">
        <v>433</v>
      </c>
      <c r="B46" s="399"/>
    </row>
    <row r="47" spans="1:2" ht="16.5" thickBot="1">
      <c r="A47" s="399" t="s">
        <v>434</v>
      </c>
      <c r="B47" s="399"/>
    </row>
    <row r="48" spans="1:3" ht="29.25" thickBot="1">
      <c r="A48" s="410" t="s">
        <v>435</v>
      </c>
      <c r="B48" s="399"/>
      <c r="C48" s="818"/>
    </row>
    <row r="49" spans="1:2" ht="16.5" thickBot="1">
      <c r="A49" s="399" t="s">
        <v>431</v>
      </c>
      <c r="B49" s="421"/>
    </row>
    <row r="50" spans="1:2" ht="16.5" thickBot="1">
      <c r="A50" s="399" t="s">
        <v>432</v>
      </c>
      <c r="B50" s="398"/>
    </row>
    <row r="51" spans="1:2" ht="16.5" thickBot="1">
      <c r="A51" s="399" t="s">
        <v>433</v>
      </c>
      <c r="B51" s="398"/>
    </row>
    <row r="52" spans="1:2" ht="16.5" thickBot="1">
      <c r="A52" s="399" t="s">
        <v>434</v>
      </c>
      <c r="B52" s="398"/>
    </row>
    <row r="53" spans="1:2" ht="29.25" thickBot="1">
      <c r="A53" s="410" t="s">
        <v>436</v>
      </c>
      <c r="B53" s="421" t="s">
        <v>753</v>
      </c>
    </row>
    <row r="54" spans="1:2" ht="16.5" thickBot="1">
      <c r="A54" s="399" t="s">
        <v>431</v>
      </c>
      <c r="B54" s="421">
        <v>8.56555594</v>
      </c>
    </row>
    <row r="55" spans="1:2" ht="16.5" thickBot="1">
      <c r="A55" s="399" t="s">
        <v>432</v>
      </c>
      <c r="B55" s="398"/>
    </row>
    <row r="56" spans="1:2" ht="16.5" thickBot="1">
      <c r="A56" s="399" t="s">
        <v>433</v>
      </c>
      <c r="B56" s="398"/>
    </row>
    <row r="57" spans="1:2" ht="16.5" thickBot="1">
      <c r="A57" s="399" t="s">
        <v>434</v>
      </c>
      <c r="B57" s="398"/>
    </row>
    <row r="58" spans="1:2" ht="29.25" thickBot="1">
      <c r="A58" s="411" t="s">
        <v>437</v>
      </c>
      <c r="B58" s="422"/>
    </row>
    <row r="59" spans="1:2" ht="16.5" thickBot="1">
      <c r="A59" s="412" t="s">
        <v>301</v>
      </c>
      <c r="B59" s="422"/>
    </row>
    <row r="60" spans="1:2" ht="16.5" thickBot="1">
      <c r="A60" s="412" t="s">
        <v>438</v>
      </c>
      <c r="B60" s="422"/>
    </row>
    <row r="61" spans="1:2" ht="16.5" thickBot="1">
      <c r="A61" s="412" t="s">
        <v>439</v>
      </c>
      <c r="B61" s="422"/>
    </row>
    <row r="62" spans="1:2" ht="16.5" thickBot="1">
      <c r="A62" s="412" t="s">
        <v>440</v>
      </c>
      <c r="B62" s="422"/>
    </row>
    <row r="63" spans="1:2" ht="16.5" thickBot="1">
      <c r="A63" s="410" t="s">
        <v>441</v>
      </c>
      <c r="B63" s="423">
        <f>B64/B38</f>
        <v>0.2866105524494421</v>
      </c>
    </row>
    <row r="64" spans="1:2" ht="16.5" thickBot="1">
      <c r="A64" s="410" t="s">
        <v>442</v>
      </c>
      <c r="B64" s="424">
        <f>'7.1'!E33</f>
        <v>2.45497872</v>
      </c>
    </row>
    <row r="65" spans="1:2" ht="16.5" thickBot="1">
      <c r="A65" s="410" t="s">
        <v>443</v>
      </c>
      <c r="B65" s="423">
        <f>B66/B38</f>
        <v>0.2866105468456026</v>
      </c>
    </row>
    <row r="66" spans="1:2" ht="16.5" thickBot="1">
      <c r="A66" s="409" t="s">
        <v>444</v>
      </c>
      <c r="B66" s="425">
        <f>'7.1'!N33</f>
        <v>2.4549786719999998</v>
      </c>
    </row>
    <row r="67" spans="1:2" ht="15.75">
      <c r="A67" s="307" t="s">
        <v>445</v>
      </c>
      <c r="B67" s="431"/>
    </row>
    <row r="68" spans="1:2" ht="15.75">
      <c r="A68" s="402" t="s">
        <v>446</v>
      </c>
      <c r="B68" s="453"/>
    </row>
    <row r="69" spans="1:2" ht="15.75">
      <c r="A69" s="402" t="s">
        <v>447</v>
      </c>
      <c r="B69" s="453"/>
    </row>
    <row r="70" spans="1:2" ht="15.75">
      <c r="A70" s="402" t="s">
        <v>448</v>
      </c>
      <c r="B70" s="453"/>
    </row>
    <row r="71" spans="1:2" ht="15.75">
      <c r="A71" s="402" t="s">
        <v>449</v>
      </c>
      <c r="B71" s="453"/>
    </row>
    <row r="72" spans="1:2" ht="16.5" thickBot="1">
      <c r="A72" s="403" t="s">
        <v>450</v>
      </c>
      <c r="B72" s="492"/>
    </row>
    <row r="73" spans="1:2" ht="30.75" thickBot="1">
      <c r="A73" s="401" t="s">
        <v>451</v>
      </c>
      <c r="B73" s="398"/>
    </row>
    <row r="74" spans="1:2" ht="29.25" thickBot="1">
      <c r="A74" s="405" t="s">
        <v>453</v>
      </c>
      <c r="B74" s="398"/>
    </row>
    <row r="75" spans="1:2" ht="16.5" thickBot="1">
      <c r="A75" s="401" t="s">
        <v>301</v>
      </c>
      <c r="B75" s="400"/>
    </row>
    <row r="76" spans="1:2" ht="16.5" thickBot="1">
      <c r="A76" s="401" t="s">
        <v>454</v>
      </c>
      <c r="B76" s="398"/>
    </row>
    <row r="77" spans="1:2" ht="16.5" thickBot="1">
      <c r="A77" s="401" t="s">
        <v>455</v>
      </c>
      <c r="B77" s="400"/>
    </row>
    <row r="78" spans="1:2" ht="16.5" thickBot="1">
      <c r="A78" s="307" t="s">
        <v>456</v>
      </c>
      <c r="B78" s="401"/>
    </row>
    <row r="79" spans="1:2" ht="16.5" thickBot="1">
      <c r="A79" s="405" t="s">
        <v>457</v>
      </c>
      <c r="B79" s="401"/>
    </row>
    <row r="80" spans="1:2" ht="16.5" thickBot="1">
      <c r="A80" s="402" t="s">
        <v>458</v>
      </c>
      <c r="B80" s="400"/>
    </row>
    <row r="81" spans="1:2" ht="16.5" thickBot="1">
      <c r="A81" s="402" t="s">
        <v>459</v>
      </c>
      <c r="B81" s="400"/>
    </row>
    <row r="82" spans="1:2" ht="16.5" thickBot="1">
      <c r="A82" s="402" t="s">
        <v>460</v>
      </c>
      <c r="B82" s="400"/>
    </row>
    <row r="83" spans="1:2" ht="29.25" thickBot="1">
      <c r="A83" s="819" t="s">
        <v>461</v>
      </c>
      <c r="B83" s="551"/>
    </row>
    <row r="84" spans="1:2" ht="28.5">
      <c r="A84" s="307" t="s">
        <v>462</v>
      </c>
      <c r="B84" s="1009"/>
    </row>
    <row r="85" spans="1:2" ht="15.75">
      <c r="A85" s="402" t="s">
        <v>463</v>
      </c>
      <c r="B85" s="1010"/>
    </row>
    <row r="86" spans="1:2" ht="15.75">
      <c r="A86" s="402" t="s">
        <v>464</v>
      </c>
      <c r="B86" s="1010"/>
    </row>
    <row r="87" spans="1:2" ht="15.75">
      <c r="A87" s="402" t="s">
        <v>465</v>
      </c>
      <c r="B87" s="1010"/>
    </row>
    <row r="88" spans="1:2" ht="15.75">
      <c r="A88" s="402" t="s">
        <v>466</v>
      </c>
      <c r="B88" s="1010"/>
    </row>
    <row r="89" spans="1:2" ht="16.5" thickBot="1">
      <c r="A89" s="413" t="s">
        <v>467</v>
      </c>
      <c r="B89" s="1011"/>
    </row>
    <row r="91" spans="1:2" ht="15.75">
      <c r="A91" s="308" t="s">
        <v>468</v>
      </c>
      <c r="B91" s="308"/>
    </row>
    <row r="92" ht="15.75">
      <c r="A92" s="301" t="s">
        <v>469</v>
      </c>
    </row>
    <row r="93" ht="15.75">
      <c r="A93" s="301" t="s">
        <v>470</v>
      </c>
    </row>
    <row r="94" ht="15.75">
      <c r="A94" s="301" t="s">
        <v>471</v>
      </c>
    </row>
    <row r="95" ht="15.75">
      <c r="A95" s="301" t="s">
        <v>472</v>
      </c>
    </row>
    <row r="96" ht="15.75">
      <c r="A96" s="301" t="s">
        <v>473</v>
      </c>
    </row>
    <row r="97" ht="15.75">
      <c r="A97" s="301" t="s">
        <v>474</v>
      </c>
    </row>
    <row r="98" spans="1:2" ht="15.75">
      <c r="A98" s="1012" t="s">
        <v>475</v>
      </c>
      <c r="B98" s="1012"/>
    </row>
    <row r="100" spans="1:2" ht="15.75">
      <c r="A100" s="1013" t="str">
        <f>8!A52:M52</f>
        <v>Заместитель генерального директора по экономике, финансам и сбыту                                                                                                        Е.Ю.Лукьяненко</v>
      </c>
      <c r="B100" s="1013"/>
    </row>
    <row r="101" ht="15.75">
      <c r="B101" s="309"/>
    </row>
    <row r="102" ht="15.75">
      <c r="B102" s="310"/>
    </row>
  </sheetData>
  <sheetProtection/>
  <mergeCells count="5">
    <mergeCell ref="A13:B13"/>
    <mergeCell ref="A14:B14"/>
    <mergeCell ref="B84:B89"/>
    <mergeCell ref="A98:B98"/>
    <mergeCell ref="A100:B10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02"/>
  <sheetViews>
    <sheetView view="pageBreakPreview" zoomScale="75" zoomScaleNormal="75" zoomScaleSheetLayoutView="75" zoomScalePageLayoutView="0" workbookViewId="0" topLeftCell="A4">
      <selection activeCell="G34" sqref="G34"/>
    </sheetView>
  </sheetViews>
  <sheetFormatPr defaultColWidth="9.00390625" defaultRowHeight="15.75"/>
  <cols>
    <col min="1" max="1" width="57.875" style="301" customWidth="1"/>
    <col min="2" max="2" width="64.50390625" style="301" customWidth="1"/>
    <col min="3" max="3" width="28.375" style="816" customWidth="1"/>
    <col min="4" max="6" width="9.00390625" style="303" customWidth="1"/>
    <col min="7" max="7" width="9.75390625" style="481" bestFit="1" customWidth="1"/>
    <col min="8" max="8" width="9.00390625" style="481" customWidth="1"/>
    <col min="9" max="16384" width="9.00390625" style="303" customWidth="1"/>
  </cols>
  <sheetData>
    <row r="1" ht="15.75">
      <c r="B1" s="302" t="s">
        <v>401</v>
      </c>
    </row>
    <row r="2" ht="15.75">
      <c r="B2" s="302" t="s">
        <v>37</v>
      </c>
    </row>
    <row r="3" ht="15.75">
      <c r="B3" s="289" t="s">
        <v>379</v>
      </c>
    </row>
    <row r="4" ht="15.75">
      <c r="B4" s="304"/>
    </row>
    <row r="5" ht="15.75">
      <c r="B5" s="2" t="s">
        <v>38</v>
      </c>
    </row>
    <row r="6" ht="15.75">
      <c r="B6" s="2" t="s">
        <v>647</v>
      </c>
    </row>
    <row r="7" ht="15.75">
      <c r="B7" s="2"/>
    </row>
    <row r="8" ht="15.75">
      <c r="B8" s="2" t="s">
        <v>648</v>
      </c>
    </row>
    <row r="9" ht="15.75">
      <c r="B9" s="2" t="s">
        <v>795</v>
      </c>
    </row>
    <row r="10" ht="15.75">
      <c r="B10" s="2" t="s">
        <v>42</v>
      </c>
    </row>
    <row r="11" ht="15.75">
      <c r="B11" s="305"/>
    </row>
    <row r="12" ht="15.75">
      <c r="B12" s="305"/>
    </row>
    <row r="13" spans="1:2" ht="30.75" customHeight="1">
      <c r="A13" s="1006" t="s">
        <v>789</v>
      </c>
      <c r="B13" s="1007"/>
    </row>
    <row r="14" spans="1:2" ht="32.25" customHeight="1">
      <c r="A14" s="1008" t="str">
        <f>'10 (ТП-2 с. Хаилино)'!A14:B14</f>
        <v>"Реконструкция и развитие электроснабжения АО "Корякэнерго"</v>
      </c>
      <c r="B14" s="1008"/>
    </row>
    <row r="15" ht="16.5" thickBot="1">
      <c r="B15" s="306"/>
    </row>
    <row r="16" spans="1:2" ht="36" customHeight="1" thickBot="1">
      <c r="A16" s="404" t="s">
        <v>274</v>
      </c>
      <c r="B16" s="821" t="str">
        <f>'7.1'!B34</f>
        <v>Снегоболотоход гусенечный ГАЗ 34039-32 с.Тымлат</v>
      </c>
    </row>
    <row r="17" spans="1:2" ht="16.5" thickBot="1">
      <c r="A17" s="404" t="s">
        <v>402</v>
      </c>
      <c r="B17" s="416" t="s">
        <v>740</v>
      </c>
    </row>
    <row r="18" spans="1:2" ht="16.5" thickBot="1">
      <c r="A18" s="404" t="s">
        <v>403</v>
      </c>
      <c r="B18" s="417"/>
    </row>
    <row r="19" spans="1:2" ht="16.5" thickBot="1">
      <c r="A19" s="404" t="s">
        <v>404</v>
      </c>
      <c r="B19" s="450"/>
    </row>
    <row r="20" spans="1:2" ht="16.5" thickBot="1">
      <c r="A20" s="688" t="s">
        <v>405</v>
      </c>
      <c r="B20" s="451" t="s">
        <v>730</v>
      </c>
    </row>
    <row r="21" spans="1:4" ht="16.5" thickBot="1">
      <c r="A21" s="820" t="s">
        <v>406</v>
      </c>
      <c r="B21" s="459" t="s">
        <v>744</v>
      </c>
      <c r="D21" s="454"/>
    </row>
    <row r="22" spans="1:2" ht="16.5" thickBot="1">
      <c r="A22" s="307" t="s">
        <v>407</v>
      </c>
      <c r="B22" s="398"/>
    </row>
    <row r="23" spans="1:2" ht="30.75" thickBot="1">
      <c r="A23" s="398" t="s">
        <v>409</v>
      </c>
      <c r="B23" s="399"/>
    </row>
    <row r="24" spans="1:2" ht="60.75" thickBot="1">
      <c r="A24" s="401" t="s">
        <v>410</v>
      </c>
      <c r="B24" s="399"/>
    </row>
    <row r="25" spans="1:2" ht="60.75" thickBot="1">
      <c r="A25" s="398" t="s">
        <v>411</v>
      </c>
      <c r="B25" s="398"/>
    </row>
    <row r="26" spans="1:2" ht="16.5" thickBot="1">
      <c r="A26" s="405" t="s">
        <v>412</v>
      </c>
      <c r="B26" s="398"/>
    </row>
    <row r="27" spans="1:2" ht="30.75" thickBot="1">
      <c r="A27" s="398" t="s">
        <v>413</v>
      </c>
      <c r="B27" s="398"/>
    </row>
    <row r="28" spans="1:2" ht="16.5" thickBot="1">
      <c r="A28" s="405" t="s">
        <v>414</v>
      </c>
      <c r="B28" s="398"/>
    </row>
    <row r="29" spans="1:2" ht="30.75" thickBot="1">
      <c r="A29" s="407" t="s">
        <v>415</v>
      </c>
      <c r="B29" s="398"/>
    </row>
    <row r="30" spans="1:2" ht="16.5" thickBot="1">
      <c r="A30" s="405" t="s">
        <v>416</v>
      </c>
      <c r="B30" s="418"/>
    </row>
    <row r="31" spans="1:2" ht="16.5" thickBot="1">
      <c r="A31" s="307" t="s">
        <v>418</v>
      </c>
      <c r="B31" s="452"/>
    </row>
    <row r="32" spans="1:2" ht="18.75" customHeight="1" thickBot="1">
      <c r="A32" s="405" t="s">
        <v>419</v>
      </c>
      <c r="B32" s="431"/>
    </row>
    <row r="33" spans="1:2" ht="28.5">
      <c r="A33" s="307" t="s">
        <v>420</v>
      </c>
      <c r="B33" s="401"/>
    </row>
    <row r="34" spans="1:2" ht="45">
      <c r="A34" s="402" t="s">
        <v>421</v>
      </c>
      <c r="B34" s="402"/>
    </row>
    <row r="35" spans="1:2" ht="15.75">
      <c r="A35" s="402" t="s">
        <v>422</v>
      </c>
      <c r="B35" s="402"/>
    </row>
    <row r="36" spans="1:2" ht="15.75">
      <c r="A36" s="402" t="s">
        <v>423</v>
      </c>
      <c r="B36" s="402"/>
    </row>
    <row r="37" spans="1:2" ht="16.5" thickBot="1">
      <c r="A37" s="408" t="s">
        <v>424</v>
      </c>
      <c r="B37" s="402"/>
    </row>
    <row r="38" spans="1:2" ht="16.5" thickBot="1">
      <c r="A38" s="409" t="s">
        <v>425</v>
      </c>
      <c r="B38" s="420">
        <v>4.3239949</v>
      </c>
    </row>
    <row r="39" spans="1:2" ht="16.5" thickBot="1">
      <c r="A39" s="398" t="s">
        <v>426</v>
      </c>
      <c r="B39" s="398"/>
    </row>
    <row r="40" spans="1:2" ht="29.25" thickBot="1">
      <c r="A40" s="410" t="s">
        <v>428</v>
      </c>
      <c r="B40" s="421">
        <f>B41</f>
        <v>4.323994</v>
      </c>
    </row>
    <row r="41" spans="1:2" ht="29.25" thickBot="1">
      <c r="A41" s="410" t="s">
        <v>429</v>
      </c>
      <c r="B41" s="421">
        <f>B44+B54</f>
        <v>4.323994</v>
      </c>
    </row>
    <row r="42" spans="1:2" ht="16.5" thickBot="1">
      <c r="A42" s="399" t="s">
        <v>301</v>
      </c>
      <c r="B42" s="421"/>
    </row>
    <row r="43" spans="1:3" ht="29.25" thickBot="1">
      <c r="A43" s="410" t="s">
        <v>430</v>
      </c>
      <c r="B43" s="421"/>
      <c r="C43" s="818"/>
    </row>
    <row r="44" spans="1:2" ht="16.5" thickBot="1">
      <c r="A44" s="399" t="s">
        <v>431</v>
      </c>
      <c r="B44" s="421"/>
    </row>
    <row r="45" spans="1:2" ht="16.5" thickBot="1">
      <c r="A45" s="399" t="s">
        <v>432</v>
      </c>
      <c r="B45" s="399"/>
    </row>
    <row r="46" spans="1:2" ht="16.5" thickBot="1">
      <c r="A46" s="399" t="s">
        <v>433</v>
      </c>
      <c r="B46" s="399"/>
    </row>
    <row r="47" spans="1:2" ht="16.5" thickBot="1">
      <c r="A47" s="399" t="s">
        <v>434</v>
      </c>
      <c r="B47" s="399"/>
    </row>
    <row r="48" spans="1:3" ht="29.25" thickBot="1">
      <c r="A48" s="410" t="s">
        <v>435</v>
      </c>
      <c r="B48" s="399"/>
      <c r="C48" s="818"/>
    </row>
    <row r="49" spans="1:2" ht="16.5" thickBot="1">
      <c r="A49" s="399" t="s">
        <v>431</v>
      </c>
      <c r="B49" s="421"/>
    </row>
    <row r="50" spans="1:2" ht="16.5" thickBot="1">
      <c r="A50" s="399" t="s">
        <v>432</v>
      </c>
      <c r="B50" s="398"/>
    </row>
    <row r="51" spans="1:2" ht="16.5" thickBot="1">
      <c r="A51" s="399" t="s">
        <v>433</v>
      </c>
      <c r="B51" s="398"/>
    </row>
    <row r="52" spans="1:2" ht="16.5" thickBot="1">
      <c r="A52" s="399" t="s">
        <v>434</v>
      </c>
      <c r="B52" s="398"/>
    </row>
    <row r="53" spans="1:2" ht="29.25" thickBot="1">
      <c r="A53" s="410" t="s">
        <v>436</v>
      </c>
      <c r="B53" s="421" t="s">
        <v>754</v>
      </c>
    </row>
    <row r="54" spans="1:2" ht="16.5" thickBot="1">
      <c r="A54" s="399" t="s">
        <v>431</v>
      </c>
      <c r="B54" s="421">
        <v>4.323994</v>
      </c>
    </row>
    <row r="55" spans="1:2" ht="16.5" thickBot="1">
      <c r="A55" s="399" t="s">
        <v>432</v>
      </c>
      <c r="B55" s="398"/>
    </row>
    <row r="56" spans="1:2" ht="16.5" thickBot="1">
      <c r="A56" s="399" t="s">
        <v>433</v>
      </c>
      <c r="B56" s="398"/>
    </row>
    <row r="57" spans="1:2" ht="16.5" thickBot="1">
      <c r="A57" s="399" t="s">
        <v>434</v>
      </c>
      <c r="B57" s="398"/>
    </row>
    <row r="58" spans="1:2" ht="29.25" thickBot="1">
      <c r="A58" s="411" t="s">
        <v>437</v>
      </c>
      <c r="B58" s="422"/>
    </row>
    <row r="59" spans="1:2" ht="16.5" thickBot="1">
      <c r="A59" s="412" t="s">
        <v>301</v>
      </c>
      <c r="B59" s="422"/>
    </row>
    <row r="60" spans="1:2" ht="16.5" thickBot="1">
      <c r="A60" s="412" t="s">
        <v>438</v>
      </c>
      <c r="B60" s="422"/>
    </row>
    <row r="61" spans="1:2" ht="16.5" thickBot="1">
      <c r="A61" s="412" t="s">
        <v>439</v>
      </c>
      <c r="B61" s="422"/>
    </row>
    <row r="62" spans="1:2" ht="16.5" thickBot="1">
      <c r="A62" s="412" t="s">
        <v>440</v>
      </c>
      <c r="B62" s="422"/>
    </row>
    <row r="63" spans="1:2" ht="16.5" thickBot="1">
      <c r="A63" s="410" t="s">
        <v>441</v>
      </c>
      <c r="B63" s="423">
        <f>B64/B38</f>
        <v>0.2541820296781571</v>
      </c>
    </row>
    <row r="64" spans="1:2" ht="16.5" thickBot="1">
      <c r="A64" s="410" t="s">
        <v>442</v>
      </c>
      <c r="B64" s="424">
        <f>'7.1'!E34</f>
        <v>1.0990818</v>
      </c>
    </row>
    <row r="65" spans="1:2" ht="16.5" thickBot="1">
      <c r="A65" s="410" t="s">
        <v>443</v>
      </c>
      <c r="B65" s="423">
        <f>B66/B38</f>
        <v>0.25418202579286114</v>
      </c>
    </row>
    <row r="66" spans="1:2" ht="16.5" thickBot="1">
      <c r="A66" s="409" t="s">
        <v>444</v>
      </c>
      <c r="B66" s="425">
        <f>'7.1'!N34</f>
        <v>1.0990817832</v>
      </c>
    </row>
    <row r="67" spans="1:2" ht="15.75">
      <c r="A67" s="307" t="s">
        <v>445</v>
      </c>
      <c r="B67" s="431"/>
    </row>
    <row r="68" spans="1:2" ht="15.75">
      <c r="A68" s="402" t="s">
        <v>446</v>
      </c>
      <c r="B68" s="453"/>
    </row>
    <row r="69" spans="1:2" ht="15.75">
      <c r="A69" s="402" t="s">
        <v>447</v>
      </c>
      <c r="B69" s="453"/>
    </row>
    <row r="70" spans="1:2" ht="15.75">
      <c r="A70" s="402" t="s">
        <v>448</v>
      </c>
      <c r="B70" s="453"/>
    </row>
    <row r="71" spans="1:2" ht="15.75">
      <c r="A71" s="402" t="s">
        <v>449</v>
      </c>
      <c r="B71" s="453"/>
    </row>
    <row r="72" spans="1:2" ht="16.5" thickBot="1">
      <c r="A72" s="403" t="s">
        <v>450</v>
      </c>
      <c r="B72" s="492"/>
    </row>
    <row r="73" spans="1:2" ht="30.75" thickBot="1">
      <c r="A73" s="401" t="s">
        <v>451</v>
      </c>
      <c r="B73" s="398"/>
    </row>
    <row r="74" spans="1:2" ht="29.25" thickBot="1">
      <c r="A74" s="405" t="s">
        <v>453</v>
      </c>
      <c r="B74" s="398"/>
    </row>
    <row r="75" spans="1:2" ht="16.5" thickBot="1">
      <c r="A75" s="401" t="s">
        <v>301</v>
      </c>
      <c r="B75" s="400"/>
    </row>
    <row r="76" spans="1:2" ht="16.5" thickBot="1">
      <c r="A76" s="401" t="s">
        <v>454</v>
      </c>
      <c r="B76" s="398"/>
    </row>
    <row r="77" spans="1:2" ht="16.5" thickBot="1">
      <c r="A77" s="401" t="s">
        <v>455</v>
      </c>
      <c r="B77" s="400"/>
    </row>
    <row r="78" spans="1:2" ht="16.5" thickBot="1">
      <c r="A78" s="307" t="s">
        <v>456</v>
      </c>
      <c r="B78" s="401"/>
    </row>
    <row r="79" spans="1:2" ht="16.5" thickBot="1">
      <c r="A79" s="405" t="s">
        <v>457</v>
      </c>
      <c r="B79" s="401"/>
    </row>
    <row r="80" spans="1:2" ht="16.5" thickBot="1">
      <c r="A80" s="402" t="s">
        <v>458</v>
      </c>
      <c r="B80" s="400"/>
    </row>
    <row r="81" spans="1:2" ht="16.5" thickBot="1">
      <c r="A81" s="402" t="s">
        <v>459</v>
      </c>
      <c r="B81" s="400"/>
    </row>
    <row r="82" spans="1:2" ht="16.5" thickBot="1">
      <c r="A82" s="402" t="s">
        <v>460</v>
      </c>
      <c r="B82" s="400"/>
    </row>
    <row r="83" spans="1:2" ht="29.25" thickBot="1">
      <c r="A83" s="819" t="s">
        <v>461</v>
      </c>
      <c r="B83" s="551"/>
    </row>
    <row r="84" spans="1:2" ht="28.5">
      <c r="A84" s="307" t="s">
        <v>462</v>
      </c>
      <c r="B84" s="1009"/>
    </row>
    <row r="85" spans="1:2" ht="15.75">
      <c r="A85" s="402" t="s">
        <v>463</v>
      </c>
      <c r="B85" s="1010"/>
    </row>
    <row r="86" spans="1:2" ht="15.75">
      <c r="A86" s="402" t="s">
        <v>464</v>
      </c>
      <c r="B86" s="1010"/>
    </row>
    <row r="87" spans="1:2" ht="15.75">
      <c r="A87" s="402" t="s">
        <v>465</v>
      </c>
      <c r="B87" s="1010"/>
    </row>
    <row r="88" spans="1:2" ht="15.75">
      <c r="A88" s="402" t="s">
        <v>466</v>
      </c>
      <c r="B88" s="1010"/>
    </row>
    <row r="89" spans="1:2" ht="16.5" thickBot="1">
      <c r="A89" s="413" t="s">
        <v>467</v>
      </c>
      <c r="B89" s="1011"/>
    </row>
    <row r="91" spans="1:2" ht="15.75">
      <c r="A91" s="308" t="s">
        <v>468</v>
      </c>
      <c r="B91" s="308"/>
    </row>
    <row r="92" ht="15.75">
      <c r="A92" s="301" t="s">
        <v>469</v>
      </c>
    </row>
    <row r="93" ht="15.75">
      <c r="A93" s="301" t="s">
        <v>470</v>
      </c>
    </row>
    <row r="94" ht="15.75">
      <c r="A94" s="301" t="s">
        <v>471</v>
      </c>
    </row>
    <row r="95" ht="15.75">
      <c r="A95" s="301" t="s">
        <v>472</v>
      </c>
    </row>
    <row r="96" ht="15.75">
      <c r="A96" s="301" t="s">
        <v>473</v>
      </c>
    </row>
    <row r="97" ht="15.75">
      <c r="A97" s="301" t="s">
        <v>474</v>
      </c>
    </row>
    <row r="98" spans="1:2" ht="15.75">
      <c r="A98" s="1012" t="s">
        <v>475</v>
      </c>
      <c r="B98" s="1012"/>
    </row>
    <row r="100" spans="1:2" ht="15.75">
      <c r="A100" s="1013" t="str">
        <f>8!A52:M52</f>
        <v>Заместитель генерального директора по экономике, финансам и сбыту                                                                                                        Е.Ю.Лукьяненко</v>
      </c>
      <c r="B100" s="1013"/>
    </row>
    <row r="101" ht="15.75">
      <c r="B101" s="309"/>
    </row>
    <row r="102" ht="15.75">
      <c r="B102" s="310"/>
    </row>
  </sheetData>
  <sheetProtection/>
  <mergeCells count="5">
    <mergeCell ref="A13:B13"/>
    <mergeCell ref="A14:B14"/>
    <mergeCell ref="B84:B89"/>
    <mergeCell ref="A98:B98"/>
    <mergeCell ref="A100:B10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02"/>
  <sheetViews>
    <sheetView view="pageBreakPreview" zoomScale="75" zoomScaleNormal="90" zoomScaleSheetLayoutView="75" zoomScalePageLayoutView="0" workbookViewId="0" topLeftCell="A7">
      <selection activeCell="B20" sqref="B20"/>
    </sheetView>
  </sheetViews>
  <sheetFormatPr defaultColWidth="9.00390625" defaultRowHeight="15.75"/>
  <cols>
    <col min="1" max="1" width="57.875" style="301" customWidth="1"/>
    <col min="2" max="2" width="64.75390625" style="301" customWidth="1"/>
    <col min="3" max="3" width="13.375" style="462" customWidth="1"/>
    <col min="4" max="4" width="33.50390625" style="464" customWidth="1"/>
    <col min="5" max="5" width="9.75390625" style="481" bestFit="1" customWidth="1"/>
    <col min="6" max="6" width="9.00390625" style="481" customWidth="1"/>
    <col min="7" max="16384" width="9.00390625" style="303" customWidth="1"/>
  </cols>
  <sheetData>
    <row r="1" ht="15.75">
      <c r="B1" s="302" t="s">
        <v>401</v>
      </c>
    </row>
    <row r="2" ht="15.75">
      <c r="B2" s="302" t="s">
        <v>37</v>
      </c>
    </row>
    <row r="3" ht="15.75">
      <c r="B3" s="289" t="s">
        <v>379</v>
      </c>
    </row>
    <row r="4" ht="15.75">
      <c r="B4" s="304"/>
    </row>
    <row r="5" ht="15.75">
      <c r="B5" s="2" t="s">
        <v>38</v>
      </c>
    </row>
    <row r="6" ht="15.75">
      <c r="B6" s="2" t="s">
        <v>647</v>
      </c>
    </row>
    <row r="7" ht="15.75">
      <c r="B7" s="2"/>
    </row>
    <row r="8" ht="15.75">
      <c r="B8" s="2" t="s">
        <v>648</v>
      </c>
    </row>
    <row r="9" ht="15.75">
      <c r="B9" s="2" t="s">
        <v>795</v>
      </c>
    </row>
    <row r="10" ht="15.75">
      <c r="B10" s="2" t="s">
        <v>42</v>
      </c>
    </row>
    <row r="11" ht="15.75">
      <c r="B11" s="305"/>
    </row>
    <row r="12" ht="15.75">
      <c r="B12" s="305"/>
    </row>
    <row r="13" spans="1:2" ht="30.75" customHeight="1">
      <c r="A13" s="1006" t="str">
        <f>'10 (ГСМ склад с.Тиличики)'!A13:B13</f>
        <v>Отчет о ходе реализации проектов (заполняется для наиболее значимых проектов*)
(представляется ежеквартально - 4 квартал 2016 года)</v>
      </c>
      <c r="B13" s="1007"/>
    </row>
    <row r="14" spans="1:2" ht="32.25" customHeight="1">
      <c r="A14" s="1008" t="str">
        <f>'10 (ГСМ склад с.Тиличики)'!A14:B14</f>
        <v>"Реконструкция и развитие электроснабжения АО "Корякэнерго"</v>
      </c>
      <c r="B14" s="1008"/>
    </row>
    <row r="15" ht="16.5" thickBot="1">
      <c r="B15" s="306"/>
    </row>
    <row r="16" spans="1:2" ht="30.75" customHeight="1" thickBot="1">
      <c r="A16" s="404" t="s">
        <v>274</v>
      </c>
      <c r="B16" s="426" t="s">
        <v>384</v>
      </c>
    </row>
    <row r="17" spans="1:2" ht="16.5" thickBot="1">
      <c r="A17" s="404" t="s">
        <v>402</v>
      </c>
      <c r="B17" s="416" t="s">
        <v>481</v>
      </c>
    </row>
    <row r="18" spans="1:2" ht="16.5" thickBot="1">
      <c r="A18" s="404" t="s">
        <v>403</v>
      </c>
      <c r="B18" s="417" t="s">
        <v>482</v>
      </c>
    </row>
    <row r="19" spans="1:2" ht="16.5" thickBot="1">
      <c r="A19" s="404" t="s">
        <v>404</v>
      </c>
      <c r="B19" s="450" t="s">
        <v>587</v>
      </c>
    </row>
    <row r="20" spans="1:2" ht="16.5" thickBot="1">
      <c r="A20" s="405" t="s">
        <v>405</v>
      </c>
      <c r="B20" s="451" t="s">
        <v>588</v>
      </c>
    </row>
    <row r="21" spans="1:2" ht="16.5" thickBot="1">
      <c r="A21" s="406" t="s">
        <v>406</v>
      </c>
      <c r="B21" s="459" t="s">
        <v>605</v>
      </c>
    </row>
    <row r="22" spans="1:2" ht="16.5" thickBot="1">
      <c r="A22" s="307" t="s">
        <v>407</v>
      </c>
      <c r="B22" s="399"/>
    </row>
    <row r="23" spans="1:2" ht="30.75" thickBot="1">
      <c r="A23" s="398" t="s">
        <v>409</v>
      </c>
      <c r="B23" s="399" t="s">
        <v>652</v>
      </c>
    </row>
    <row r="24" spans="1:2" ht="60.75" thickBot="1">
      <c r="A24" s="401" t="s">
        <v>410</v>
      </c>
      <c r="B24" s="399" t="s">
        <v>602</v>
      </c>
    </row>
    <row r="25" spans="1:2" ht="60.75" thickBot="1">
      <c r="A25" s="398" t="s">
        <v>411</v>
      </c>
      <c r="B25" s="399" t="s">
        <v>408</v>
      </c>
    </row>
    <row r="26" spans="1:2" ht="16.5" thickBot="1">
      <c r="A26" s="405" t="s">
        <v>412</v>
      </c>
      <c r="B26" s="398"/>
    </row>
    <row r="27" spans="1:2" ht="30.75" thickBot="1">
      <c r="A27" s="398" t="s">
        <v>413</v>
      </c>
      <c r="B27" s="398" t="s">
        <v>567</v>
      </c>
    </row>
    <row r="28" spans="1:2" ht="16.5" thickBot="1">
      <c r="A28" s="405" t="s">
        <v>414</v>
      </c>
      <c r="B28" s="398"/>
    </row>
    <row r="29" spans="1:4" ht="45.75" thickBot="1">
      <c r="A29" s="407" t="s">
        <v>415</v>
      </c>
      <c r="B29" s="461" t="s">
        <v>599</v>
      </c>
      <c r="D29" s="473"/>
    </row>
    <row r="30" spans="1:2" ht="16.5" thickBot="1">
      <c r="A30" s="405" t="s">
        <v>416</v>
      </c>
      <c r="B30" s="418" t="s">
        <v>417</v>
      </c>
    </row>
    <row r="31" spans="1:2" ht="16.5" thickBot="1">
      <c r="A31" s="307" t="s">
        <v>418</v>
      </c>
      <c r="B31" s="419" t="s">
        <v>483</v>
      </c>
    </row>
    <row r="32" spans="1:2" ht="20.25" customHeight="1" thickBot="1">
      <c r="A32" s="405" t="s">
        <v>419</v>
      </c>
      <c r="B32" s="401" t="s">
        <v>479</v>
      </c>
    </row>
    <row r="33" spans="1:2" ht="28.5">
      <c r="A33" s="307" t="s">
        <v>420</v>
      </c>
      <c r="B33" s="401"/>
    </row>
    <row r="34" spans="1:2" ht="45">
      <c r="A34" s="402" t="s">
        <v>421</v>
      </c>
      <c r="B34" s="402" t="s">
        <v>408</v>
      </c>
    </row>
    <row r="35" spans="1:2" ht="15.75">
      <c r="A35" s="402" t="s">
        <v>422</v>
      </c>
      <c r="B35" s="402" t="s">
        <v>408</v>
      </c>
    </row>
    <row r="36" spans="1:2" ht="15.75">
      <c r="A36" s="402" t="s">
        <v>423</v>
      </c>
      <c r="B36" s="402" t="s">
        <v>408</v>
      </c>
    </row>
    <row r="37" spans="1:2" ht="16.5" thickBot="1">
      <c r="A37" s="408" t="s">
        <v>424</v>
      </c>
      <c r="B37" s="402" t="s">
        <v>408</v>
      </c>
    </row>
    <row r="38" spans="1:2" ht="16.5" thickBot="1">
      <c r="A38" s="409" t="s">
        <v>425</v>
      </c>
      <c r="B38" s="420">
        <v>104.067</v>
      </c>
    </row>
    <row r="39" spans="1:2" ht="16.5" thickBot="1">
      <c r="A39" s="398" t="s">
        <v>426</v>
      </c>
      <c r="B39" s="398" t="s">
        <v>427</v>
      </c>
    </row>
    <row r="40" spans="1:2" ht="29.25" thickBot="1">
      <c r="A40" s="410" t="s">
        <v>428</v>
      </c>
      <c r="B40" s="421">
        <f>B41</f>
        <v>89.77937901</v>
      </c>
    </row>
    <row r="41" spans="1:2" ht="29.25" thickBot="1">
      <c r="A41" s="410" t="s">
        <v>429</v>
      </c>
      <c r="B41" s="421">
        <f>B44+B54</f>
        <v>89.77937901</v>
      </c>
    </row>
    <row r="42" spans="1:2" ht="16.5" thickBot="1">
      <c r="A42" s="399" t="s">
        <v>301</v>
      </c>
      <c r="B42" s="414"/>
    </row>
    <row r="43" spans="1:4" ht="29.25" thickBot="1">
      <c r="A43" s="410" t="s">
        <v>430</v>
      </c>
      <c r="B43" s="421" t="s">
        <v>556</v>
      </c>
      <c r="D43" s="465"/>
    </row>
    <row r="44" spans="1:2" ht="16.5" thickBot="1">
      <c r="A44" s="399" t="s">
        <v>431</v>
      </c>
      <c r="B44" s="421">
        <v>89.62749</v>
      </c>
    </row>
    <row r="45" spans="1:2" ht="16.5" thickBot="1">
      <c r="A45" s="399" t="s">
        <v>432</v>
      </c>
      <c r="B45" s="398"/>
    </row>
    <row r="46" spans="1:2" ht="16.5" thickBot="1">
      <c r="A46" s="399" t="s">
        <v>433</v>
      </c>
      <c r="B46" s="398"/>
    </row>
    <row r="47" spans="1:2" ht="16.5" thickBot="1">
      <c r="A47" s="399" t="s">
        <v>434</v>
      </c>
      <c r="B47" s="398"/>
    </row>
    <row r="48" spans="1:2" ht="29.25" thickBot="1">
      <c r="A48" s="410" t="s">
        <v>435</v>
      </c>
      <c r="B48" s="398"/>
    </row>
    <row r="49" spans="1:2" ht="16.5" thickBot="1">
      <c r="A49" s="399" t="s">
        <v>431</v>
      </c>
      <c r="B49" s="398"/>
    </row>
    <row r="50" spans="1:2" ht="16.5" thickBot="1">
      <c r="A50" s="399" t="s">
        <v>432</v>
      </c>
      <c r="B50" s="398"/>
    </row>
    <row r="51" spans="1:2" ht="16.5" thickBot="1">
      <c r="A51" s="399" t="s">
        <v>433</v>
      </c>
      <c r="B51" s="398"/>
    </row>
    <row r="52" spans="1:2" ht="16.5" thickBot="1">
      <c r="A52" s="399" t="s">
        <v>434</v>
      </c>
      <c r="B52" s="398"/>
    </row>
    <row r="53" spans="1:4" ht="30.75" thickBot="1">
      <c r="A53" s="410" t="s">
        <v>436</v>
      </c>
      <c r="B53" s="421" t="s">
        <v>568</v>
      </c>
      <c r="C53" s="462" t="s">
        <v>560</v>
      </c>
      <c r="D53" s="465"/>
    </row>
    <row r="54" spans="1:2" ht="16.5" thickBot="1">
      <c r="A54" s="399" t="s">
        <v>431</v>
      </c>
      <c r="B54" s="421">
        <v>0.15188901</v>
      </c>
    </row>
    <row r="55" spans="1:2" ht="16.5" thickBot="1">
      <c r="A55" s="399" t="s">
        <v>432</v>
      </c>
      <c r="B55" s="398"/>
    </row>
    <row r="56" spans="1:2" ht="16.5" thickBot="1">
      <c r="A56" s="399" t="s">
        <v>433</v>
      </c>
      <c r="B56" s="398"/>
    </row>
    <row r="57" spans="1:2" ht="16.5" thickBot="1">
      <c r="A57" s="399" t="s">
        <v>434</v>
      </c>
      <c r="B57" s="398"/>
    </row>
    <row r="58" spans="1:2" ht="29.25" thickBot="1">
      <c r="A58" s="411" t="s">
        <v>437</v>
      </c>
      <c r="B58" s="422"/>
    </row>
    <row r="59" spans="1:2" ht="16.5" thickBot="1">
      <c r="A59" s="412" t="s">
        <v>301</v>
      </c>
      <c r="B59" s="422"/>
    </row>
    <row r="60" spans="1:2" ht="16.5" thickBot="1">
      <c r="A60" s="412" t="s">
        <v>438</v>
      </c>
      <c r="B60" s="422"/>
    </row>
    <row r="61" spans="1:2" ht="16.5" thickBot="1">
      <c r="A61" s="412" t="s">
        <v>439</v>
      </c>
      <c r="B61" s="422"/>
    </row>
    <row r="62" spans="1:2" ht="16.5" thickBot="1">
      <c r="A62" s="412" t="s">
        <v>440</v>
      </c>
      <c r="B62" s="422"/>
    </row>
    <row r="63" spans="1:2" ht="16.5" thickBot="1">
      <c r="A63" s="410" t="s">
        <v>441</v>
      </c>
      <c r="B63" s="423">
        <f>B64/B38</f>
        <v>0.7789402738620314</v>
      </c>
    </row>
    <row r="64" spans="1:4" ht="16.5" thickBot="1">
      <c r="A64" s="410" t="s">
        <v>442</v>
      </c>
      <c r="B64" s="424">
        <v>81.06197748000001</v>
      </c>
      <c r="C64" s="550"/>
      <c r="D64" s="474"/>
    </row>
    <row r="65" spans="1:4" ht="16.5" thickBot="1">
      <c r="A65" s="410" t="s">
        <v>443</v>
      </c>
      <c r="B65" s="423">
        <f>B66/B38</f>
        <v>0.5030891882191281</v>
      </c>
      <c r="D65" s="475">
        <f>B66-B54</f>
        <v>52.2030935404</v>
      </c>
    </row>
    <row r="66" spans="1:4" ht="16.5" thickBot="1">
      <c r="A66" s="409" t="s">
        <v>444</v>
      </c>
      <c r="B66" s="425">
        <v>52.354982550399995</v>
      </c>
      <c r="D66" s="475"/>
    </row>
    <row r="67" spans="1:2" ht="15.75">
      <c r="A67" s="307" t="s">
        <v>445</v>
      </c>
      <c r="B67" s="401"/>
    </row>
    <row r="68" spans="1:2" ht="15.75">
      <c r="A68" s="402" t="s">
        <v>446</v>
      </c>
      <c r="B68" s="402" t="s">
        <v>653</v>
      </c>
    </row>
    <row r="69" spans="1:2" ht="15.75">
      <c r="A69" s="402" t="s">
        <v>447</v>
      </c>
      <c r="B69" s="453" t="s">
        <v>557</v>
      </c>
    </row>
    <row r="70" spans="1:2" ht="15.75">
      <c r="A70" s="402" t="s">
        <v>448</v>
      </c>
      <c r="B70" s="402"/>
    </row>
    <row r="71" spans="1:2" ht="15.75">
      <c r="A71" s="402" t="s">
        <v>449</v>
      </c>
      <c r="B71" s="402" t="s">
        <v>557</v>
      </c>
    </row>
    <row r="72" spans="1:2" ht="16.5" thickBot="1">
      <c r="A72" s="403" t="s">
        <v>450</v>
      </c>
      <c r="B72" s="403" t="s">
        <v>558</v>
      </c>
    </row>
    <row r="73" spans="1:2" ht="30.75" thickBot="1">
      <c r="A73" s="401" t="s">
        <v>451</v>
      </c>
      <c r="B73" s="398" t="s">
        <v>452</v>
      </c>
    </row>
    <row r="74" spans="1:2" ht="29.25" thickBot="1">
      <c r="A74" s="405" t="s">
        <v>453</v>
      </c>
      <c r="B74" s="398"/>
    </row>
    <row r="75" spans="1:2" ht="16.5" thickBot="1">
      <c r="A75" s="401" t="s">
        <v>301</v>
      </c>
      <c r="B75" s="400"/>
    </row>
    <row r="76" spans="1:2" ht="16.5" thickBot="1">
      <c r="A76" s="401" t="s">
        <v>454</v>
      </c>
      <c r="B76" s="398"/>
    </row>
    <row r="77" spans="1:2" ht="16.5" thickBot="1">
      <c r="A77" s="401" t="s">
        <v>455</v>
      </c>
      <c r="B77" s="400">
        <v>2</v>
      </c>
    </row>
    <row r="78" spans="1:2" ht="16.5" thickBot="1">
      <c r="A78" s="307" t="s">
        <v>456</v>
      </c>
      <c r="B78" s="401"/>
    </row>
    <row r="79" spans="1:2" ht="16.5" thickBot="1">
      <c r="A79" s="405" t="s">
        <v>457</v>
      </c>
      <c r="B79" s="401"/>
    </row>
    <row r="80" spans="1:2" ht="16.5" thickBot="1">
      <c r="A80" s="402" t="s">
        <v>458</v>
      </c>
      <c r="B80" s="400"/>
    </row>
    <row r="81" spans="1:2" ht="16.5" thickBot="1">
      <c r="A81" s="402" t="s">
        <v>459</v>
      </c>
      <c r="B81" s="400"/>
    </row>
    <row r="82" spans="1:2" ht="16.5" thickBot="1">
      <c r="A82" s="402" t="s">
        <v>460</v>
      </c>
      <c r="B82" s="400"/>
    </row>
    <row r="83" spans="1:2" ht="29.25" thickBot="1">
      <c r="A83" s="307" t="s">
        <v>461</v>
      </c>
      <c r="B83" s="400"/>
    </row>
    <row r="84" spans="1:2" ht="28.5">
      <c r="A84" s="307" t="s">
        <v>462</v>
      </c>
      <c r="B84" s="1009"/>
    </row>
    <row r="85" spans="1:2" ht="15.75">
      <c r="A85" s="402" t="s">
        <v>463</v>
      </c>
      <c r="B85" s="1010"/>
    </row>
    <row r="86" spans="1:2" ht="15.75">
      <c r="A86" s="402" t="s">
        <v>464</v>
      </c>
      <c r="B86" s="1010"/>
    </row>
    <row r="87" spans="1:2" ht="15.75">
      <c r="A87" s="402" t="s">
        <v>465</v>
      </c>
      <c r="B87" s="1010"/>
    </row>
    <row r="88" spans="1:2" ht="15.75">
      <c r="A88" s="402" t="s">
        <v>466</v>
      </c>
      <c r="B88" s="1010"/>
    </row>
    <row r="89" spans="1:2" ht="16.5" thickBot="1">
      <c r="A89" s="413" t="s">
        <v>467</v>
      </c>
      <c r="B89" s="1011"/>
    </row>
    <row r="91" spans="1:2" ht="15.75">
      <c r="A91" s="308" t="s">
        <v>468</v>
      </c>
      <c r="B91" s="308"/>
    </row>
    <row r="92" ht="15.75">
      <c r="A92" s="301" t="s">
        <v>469</v>
      </c>
    </row>
    <row r="93" ht="15.75">
      <c r="A93" s="301" t="s">
        <v>470</v>
      </c>
    </row>
    <row r="94" ht="15.75">
      <c r="A94" s="301" t="s">
        <v>471</v>
      </c>
    </row>
    <row r="95" ht="15.75">
      <c r="A95" s="301" t="s">
        <v>472</v>
      </c>
    </row>
    <row r="96" ht="15.75">
      <c r="A96" s="301" t="s">
        <v>473</v>
      </c>
    </row>
    <row r="97" ht="15.75">
      <c r="A97" s="301" t="s">
        <v>474</v>
      </c>
    </row>
    <row r="98" spans="1:2" ht="15.75">
      <c r="A98" s="1012" t="s">
        <v>475</v>
      </c>
      <c r="B98" s="1012"/>
    </row>
    <row r="100" spans="1:2" ht="15.75">
      <c r="A100" s="1013" t="str">
        <f>'10 (ТП-1 с. Хаилино) '!A100:B100</f>
        <v>Начальник ПТО                                                                                                         С.А.Апекин</v>
      </c>
      <c r="B100" s="1013"/>
    </row>
    <row r="101" ht="15.75">
      <c r="B101" s="309"/>
    </row>
    <row r="102" ht="15.75">
      <c r="B102" s="310"/>
    </row>
  </sheetData>
  <sheetProtection/>
  <mergeCells count="5">
    <mergeCell ref="A13:B13"/>
    <mergeCell ref="A14:B14"/>
    <mergeCell ref="B84:B89"/>
    <mergeCell ref="A98:B98"/>
    <mergeCell ref="A100:B100"/>
  </mergeCells>
  <printOptions/>
  <pageMargins left="0.7" right="0.23" top="0.75" bottom="0.32" header="0.3" footer="0.3"/>
  <pageSetup fitToHeight="2" fitToWidth="1" horizontalDpi="600" verticalDpi="600" orientation="portrait" paperSize="9" scale="7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02"/>
  <sheetViews>
    <sheetView view="pageBreakPreview" zoomScale="75" zoomScaleNormal="90" zoomScaleSheetLayoutView="75" zoomScalePageLayoutView="0" workbookViewId="0" topLeftCell="A34">
      <selection activeCell="B19" sqref="B19"/>
    </sheetView>
  </sheetViews>
  <sheetFormatPr defaultColWidth="9.00390625" defaultRowHeight="15.75"/>
  <cols>
    <col min="1" max="1" width="57.875" style="301" customWidth="1"/>
    <col min="2" max="2" width="64.625" style="301" customWidth="1"/>
    <col min="3" max="3" width="33.125" style="464" customWidth="1"/>
    <col min="4" max="4" width="26.00390625" style="462" customWidth="1"/>
    <col min="5" max="5" width="9.75390625" style="479" bestFit="1" customWidth="1"/>
    <col min="6" max="6" width="9.00390625" style="479" customWidth="1"/>
    <col min="7" max="7" width="9.00390625" style="462" customWidth="1"/>
    <col min="8" max="16384" width="9.00390625" style="303" customWidth="1"/>
  </cols>
  <sheetData>
    <row r="1" ht="15.75">
      <c r="B1" s="302" t="s">
        <v>401</v>
      </c>
    </row>
    <row r="2" ht="15.75">
      <c r="B2" s="302" t="s">
        <v>37</v>
      </c>
    </row>
    <row r="3" ht="15.75">
      <c r="B3" s="289" t="s">
        <v>379</v>
      </c>
    </row>
    <row r="4" ht="15.75">
      <c r="B4" s="304"/>
    </row>
    <row r="5" ht="15.75">
      <c r="B5" s="2" t="s">
        <v>38</v>
      </c>
    </row>
    <row r="6" ht="15.75">
      <c r="B6" s="2" t="s">
        <v>647</v>
      </c>
    </row>
    <row r="7" ht="15.75">
      <c r="B7" s="2"/>
    </row>
    <row r="8" ht="15.75">
      <c r="B8" s="2" t="s">
        <v>648</v>
      </c>
    </row>
    <row r="9" ht="15.75">
      <c r="B9" s="2" t="s">
        <v>795</v>
      </c>
    </row>
    <row r="10" ht="15.75">
      <c r="B10" s="2" t="s">
        <v>42</v>
      </c>
    </row>
    <row r="11" ht="15.75">
      <c r="B11" s="305"/>
    </row>
    <row r="12" ht="15.75">
      <c r="B12" s="305"/>
    </row>
    <row r="13" spans="1:2" ht="30.75" customHeight="1">
      <c r="A13" s="1006" t="s">
        <v>789</v>
      </c>
      <c r="B13" s="1007"/>
    </row>
    <row r="14" spans="1:2" ht="32.25" customHeight="1">
      <c r="A14" s="1008" t="str">
        <f>'10 (ГСМ склад с.Ковран)'!A14:B14</f>
        <v>"Реконструкция и развитие электроснабжения АО "Корякэнерго"</v>
      </c>
      <c r="B14" s="1008"/>
    </row>
    <row r="15" ht="16.5" thickBot="1">
      <c r="B15" s="306"/>
    </row>
    <row r="16" spans="1:2" ht="16.5" thickBot="1">
      <c r="A16" s="404" t="s">
        <v>274</v>
      </c>
      <c r="B16" s="415" t="s">
        <v>484</v>
      </c>
    </row>
    <row r="17" spans="1:2" ht="16.5" thickBot="1">
      <c r="A17" s="404" t="s">
        <v>402</v>
      </c>
      <c r="B17" s="416" t="s">
        <v>485</v>
      </c>
    </row>
    <row r="18" spans="1:2" ht="16.5" thickBot="1">
      <c r="A18" s="404" t="s">
        <v>403</v>
      </c>
      <c r="B18" s="417" t="s">
        <v>480</v>
      </c>
    </row>
    <row r="19" spans="1:2" ht="16.5" thickBot="1">
      <c r="A19" s="404" t="s">
        <v>404</v>
      </c>
      <c r="B19" s="450" t="s">
        <v>564</v>
      </c>
    </row>
    <row r="20" spans="1:2" ht="16.5" thickBot="1">
      <c r="A20" s="405" t="s">
        <v>405</v>
      </c>
      <c r="B20" s="451" t="s">
        <v>814</v>
      </c>
    </row>
    <row r="21" spans="1:4" ht="19.5" thickBot="1">
      <c r="A21" s="406" t="s">
        <v>406</v>
      </c>
      <c r="B21" s="452" t="s">
        <v>600</v>
      </c>
      <c r="D21" s="470"/>
    </row>
    <row r="22" spans="1:2" ht="16.5" thickBot="1">
      <c r="A22" s="307" t="s">
        <v>407</v>
      </c>
      <c r="B22" s="399"/>
    </row>
    <row r="23" spans="1:2" ht="30.75" thickBot="1">
      <c r="A23" s="398" t="s">
        <v>409</v>
      </c>
      <c r="B23" s="399" t="s">
        <v>652</v>
      </c>
    </row>
    <row r="24" spans="1:4" ht="60.75" thickBot="1">
      <c r="A24" s="401" t="s">
        <v>410</v>
      </c>
      <c r="B24" s="399" t="s">
        <v>601</v>
      </c>
      <c r="D24" s="463"/>
    </row>
    <row r="25" spans="1:2" ht="60.75" thickBot="1">
      <c r="A25" s="398" t="s">
        <v>411</v>
      </c>
      <c r="B25" s="399" t="s">
        <v>408</v>
      </c>
    </row>
    <row r="26" spans="1:2" ht="16.5" thickBot="1">
      <c r="A26" s="405" t="s">
        <v>412</v>
      </c>
      <c r="B26" s="398"/>
    </row>
    <row r="27" spans="1:2" ht="30.75" thickBot="1">
      <c r="A27" s="398" t="s">
        <v>413</v>
      </c>
      <c r="B27" s="398" t="s">
        <v>555</v>
      </c>
    </row>
    <row r="28" spans="1:2" ht="16.5" thickBot="1">
      <c r="A28" s="405" t="s">
        <v>414</v>
      </c>
      <c r="B28" s="398"/>
    </row>
    <row r="29" spans="1:2" ht="30.75" thickBot="1">
      <c r="A29" s="407" t="s">
        <v>415</v>
      </c>
      <c r="B29" s="398"/>
    </row>
    <row r="30" spans="1:2" ht="16.5" thickBot="1">
      <c r="A30" s="405" t="s">
        <v>416</v>
      </c>
      <c r="B30" s="418"/>
    </row>
    <row r="31" spans="1:2" ht="16.5" thickBot="1">
      <c r="A31" s="307" t="s">
        <v>418</v>
      </c>
      <c r="B31" s="419"/>
    </row>
    <row r="32" spans="1:2" ht="17.25" customHeight="1" thickBot="1">
      <c r="A32" s="405" t="s">
        <v>419</v>
      </c>
      <c r="B32" s="401"/>
    </row>
    <row r="33" spans="1:2" ht="28.5">
      <c r="A33" s="307" t="s">
        <v>420</v>
      </c>
      <c r="B33" s="401"/>
    </row>
    <row r="34" spans="1:2" ht="45">
      <c r="A34" s="402" t="s">
        <v>421</v>
      </c>
      <c r="B34" s="402" t="s">
        <v>408</v>
      </c>
    </row>
    <row r="35" spans="1:2" ht="15.75">
      <c r="A35" s="402" t="s">
        <v>422</v>
      </c>
      <c r="B35" s="402" t="s">
        <v>408</v>
      </c>
    </row>
    <row r="36" spans="1:2" ht="15.75">
      <c r="A36" s="402" t="s">
        <v>423</v>
      </c>
      <c r="B36" s="402" t="s">
        <v>408</v>
      </c>
    </row>
    <row r="37" spans="1:2" ht="16.5" thickBot="1">
      <c r="A37" s="408" t="s">
        <v>424</v>
      </c>
      <c r="B37" s="402" t="s">
        <v>408</v>
      </c>
    </row>
    <row r="38" spans="1:2" ht="16.5" thickBot="1">
      <c r="A38" s="409" t="s">
        <v>425</v>
      </c>
      <c r="B38" s="420">
        <v>18.8</v>
      </c>
    </row>
    <row r="39" spans="1:2" ht="16.5" thickBot="1">
      <c r="A39" s="398" t="s">
        <v>426</v>
      </c>
      <c r="B39" s="398" t="s">
        <v>427</v>
      </c>
    </row>
    <row r="40" spans="1:4" ht="29.25" thickBot="1">
      <c r="A40" s="410" t="s">
        <v>428</v>
      </c>
      <c r="B40" s="421">
        <f>B41</f>
        <v>5.15814188</v>
      </c>
      <c r="D40" s="471"/>
    </row>
    <row r="41" spans="1:2" ht="29.25" thickBot="1">
      <c r="A41" s="410" t="s">
        <v>429</v>
      </c>
      <c r="B41" s="421">
        <f>B54+B44</f>
        <v>5.15814188</v>
      </c>
    </row>
    <row r="42" spans="1:2" ht="16.5" thickBot="1">
      <c r="A42" s="399" t="s">
        <v>301</v>
      </c>
      <c r="B42" s="414"/>
    </row>
    <row r="43" spans="1:3" ht="45.75" thickBot="1">
      <c r="A43" s="410" t="s">
        <v>430</v>
      </c>
      <c r="B43" s="421" t="s">
        <v>579</v>
      </c>
      <c r="C43" s="465"/>
    </row>
    <row r="44" spans="1:2" ht="16.5" thickBot="1">
      <c r="A44" s="399" t="s">
        <v>431</v>
      </c>
      <c r="B44" s="414">
        <v>4.97814188</v>
      </c>
    </row>
    <row r="45" spans="1:2" ht="16.5" thickBot="1">
      <c r="A45" s="399" t="s">
        <v>432</v>
      </c>
      <c r="B45" s="398"/>
    </row>
    <row r="46" spans="1:2" ht="16.5" thickBot="1">
      <c r="A46" s="399" t="s">
        <v>433</v>
      </c>
      <c r="B46" s="398"/>
    </row>
    <row r="47" spans="1:2" ht="16.5" thickBot="1">
      <c r="A47" s="399" t="s">
        <v>434</v>
      </c>
      <c r="B47" s="398"/>
    </row>
    <row r="48" spans="1:2" ht="29.25" thickBot="1">
      <c r="A48" s="410" t="s">
        <v>435</v>
      </c>
      <c r="B48" s="398"/>
    </row>
    <row r="49" spans="1:2" ht="16.5" thickBot="1">
      <c r="A49" s="399" t="s">
        <v>431</v>
      </c>
      <c r="B49" s="398"/>
    </row>
    <row r="50" spans="1:2" ht="16.5" thickBot="1">
      <c r="A50" s="399" t="s">
        <v>432</v>
      </c>
      <c r="B50" s="398"/>
    </row>
    <row r="51" spans="1:2" ht="16.5" thickBot="1">
      <c r="A51" s="399" t="s">
        <v>433</v>
      </c>
      <c r="B51" s="398"/>
    </row>
    <row r="52" spans="1:2" ht="16.5" thickBot="1">
      <c r="A52" s="399" t="s">
        <v>434</v>
      </c>
      <c r="B52" s="398"/>
    </row>
    <row r="53" spans="1:3" ht="30.75" thickBot="1">
      <c r="A53" s="410" t="s">
        <v>436</v>
      </c>
      <c r="B53" s="399" t="s">
        <v>565</v>
      </c>
      <c r="C53" s="465"/>
    </row>
    <row r="54" spans="1:2" ht="16.5" thickBot="1">
      <c r="A54" s="399" t="s">
        <v>431</v>
      </c>
      <c r="B54" s="421">
        <v>0.18</v>
      </c>
    </row>
    <row r="55" spans="1:2" ht="16.5" thickBot="1">
      <c r="A55" s="399" t="s">
        <v>432</v>
      </c>
      <c r="B55" s="398"/>
    </row>
    <row r="56" spans="1:2" ht="16.5" thickBot="1">
      <c r="A56" s="399" t="s">
        <v>433</v>
      </c>
      <c r="B56" s="399"/>
    </row>
    <row r="57" spans="1:2" ht="16.5" thickBot="1">
      <c r="A57" s="399" t="s">
        <v>434</v>
      </c>
      <c r="B57" s="398"/>
    </row>
    <row r="58" spans="1:2" ht="29.25" thickBot="1">
      <c r="A58" s="411" t="s">
        <v>437</v>
      </c>
      <c r="B58" s="422"/>
    </row>
    <row r="59" spans="1:2" ht="16.5" thickBot="1">
      <c r="A59" s="412" t="s">
        <v>301</v>
      </c>
      <c r="B59" s="422"/>
    </row>
    <row r="60" spans="1:2" ht="16.5" thickBot="1">
      <c r="A60" s="412" t="s">
        <v>438</v>
      </c>
      <c r="B60" s="815"/>
    </row>
    <row r="61" spans="1:2" ht="16.5" thickBot="1">
      <c r="A61" s="412" t="s">
        <v>439</v>
      </c>
      <c r="B61" s="815"/>
    </row>
    <row r="62" spans="1:2" ht="16.5" thickBot="1">
      <c r="A62" s="412" t="s">
        <v>440</v>
      </c>
      <c r="B62" s="815"/>
    </row>
    <row r="63" spans="1:4" ht="16.5" thickBot="1">
      <c r="A63" s="410" t="s">
        <v>441</v>
      </c>
      <c r="B63" s="423">
        <f>B64/B38</f>
        <v>0.0891291489361702</v>
      </c>
      <c r="D63" s="472"/>
    </row>
    <row r="64" spans="1:2" ht="16.5" thickBot="1">
      <c r="A64" s="410" t="s">
        <v>442</v>
      </c>
      <c r="B64" s="424">
        <v>1.675628</v>
      </c>
    </row>
    <row r="65" spans="1:2" ht="16.5" thickBot="1">
      <c r="A65" s="410" t="s">
        <v>443</v>
      </c>
      <c r="B65" s="423">
        <f>B66/B38</f>
        <v>0.2743692489361702</v>
      </c>
    </row>
    <row r="66" spans="1:4" ht="16.5" thickBot="1">
      <c r="A66" s="409" t="s">
        <v>444</v>
      </c>
      <c r="B66" s="425">
        <v>5.15814188</v>
      </c>
      <c r="C66" s="475">
        <f>B66-B54</f>
        <v>4.97814188</v>
      </c>
      <c r="D66" s="472"/>
    </row>
    <row r="67" spans="1:2" ht="15.75">
      <c r="A67" s="307" t="s">
        <v>445</v>
      </c>
      <c r="B67" s="401"/>
    </row>
    <row r="68" spans="1:2" ht="15.75">
      <c r="A68" s="402" t="s">
        <v>446</v>
      </c>
      <c r="B68" s="402" t="s">
        <v>653</v>
      </c>
    </row>
    <row r="69" spans="1:2" ht="15.75">
      <c r="A69" s="402" t="s">
        <v>447</v>
      </c>
      <c r="B69" s="402" t="s">
        <v>547</v>
      </c>
    </row>
    <row r="70" spans="1:2" ht="15.75">
      <c r="A70" s="402" t="s">
        <v>448</v>
      </c>
      <c r="B70" s="402"/>
    </row>
    <row r="71" spans="1:2" ht="15.75">
      <c r="A71" s="402" t="s">
        <v>449</v>
      </c>
      <c r="B71" s="402" t="s">
        <v>581</v>
      </c>
    </row>
    <row r="72" spans="1:2" ht="16.5" thickBot="1">
      <c r="A72" s="403" t="s">
        <v>450</v>
      </c>
      <c r="B72" s="403"/>
    </row>
    <row r="73" spans="1:2" ht="30.75" thickBot="1">
      <c r="A73" s="401" t="s">
        <v>451</v>
      </c>
      <c r="B73" s="398" t="s">
        <v>452</v>
      </c>
    </row>
    <row r="74" spans="1:2" ht="29.25" thickBot="1">
      <c r="A74" s="405" t="s">
        <v>453</v>
      </c>
      <c r="B74" s="398"/>
    </row>
    <row r="75" spans="1:2" ht="16.5" thickBot="1">
      <c r="A75" s="401" t="s">
        <v>301</v>
      </c>
      <c r="B75" s="400"/>
    </row>
    <row r="76" spans="1:2" ht="16.5" thickBot="1">
      <c r="A76" s="401" t="s">
        <v>454</v>
      </c>
      <c r="B76" s="398">
        <v>2</v>
      </c>
    </row>
    <row r="77" spans="1:2" ht="16.5" thickBot="1">
      <c r="A77" s="401" t="s">
        <v>455</v>
      </c>
      <c r="B77" s="400"/>
    </row>
    <row r="78" spans="1:2" ht="16.5" thickBot="1">
      <c r="A78" s="307" t="s">
        <v>456</v>
      </c>
      <c r="B78" s="401"/>
    </row>
    <row r="79" spans="1:2" ht="16.5" thickBot="1">
      <c r="A79" s="405" t="s">
        <v>457</v>
      </c>
      <c r="B79" s="401"/>
    </row>
    <row r="80" spans="1:2" ht="16.5" thickBot="1">
      <c r="A80" s="402" t="s">
        <v>458</v>
      </c>
      <c r="B80" s="400"/>
    </row>
    <row r="81" spans="1:2" ht="16.5" thickBot="1">
      <c r="A81" s="402" t="s">
        <v>459</v>
      </c>
      <c r="B81" s="400"/>
    </row>
    <row r="82" spans="1:2" ht="16.5" thickBot="1">
      <c r="A82" s="402" t="s">
        <v>460</v>
      </c>
      <c r="B82" s="400"/>
    </row>
    <row r="83" spans="1:2" ht="29.25" thickBot="1">
      <c r="A83" s="307" t="s">
        <v>461</v>
      </c>
      <c r="B83" s="400"/>
    </row>
    <row r="84" spans="1:2" ht="28.5">
      <c r="A84" s="307" t="s">
        <v>462</v>
      </c>
      <c r="B84" s="1009"/>
    </row>
    <row r="85" spans="1:2" ht="15.75">
      <c r="A85" s="402" t="s">
        <v>463</v>
      </c>
      <c r="B85" s="1010"/>
    </row>
    <row r="86" spans="1:2" ht="15.75">
      <c r="A86" s="402" t="s">
        <v>464</v>
      </c>
      <c r="B86" s="1010"/>
    </row>
    <row r="87" spans="1:2" ht="15.75">
      <c r="A87" s="402" t="s">
        <v>465</v>
      </c>
      <c r="B87" s="1010"/>
    </row>
    <row r="88" spans="1:2" ht="15.75">
      <c r="A88" s="402" t="s">
        <v>466</v>
      </c>
      <c r="B88" s="1010"/>
    </row>
    <row r="89" spans="1:2" ht="16.5" thickBot="1">
      <c r="A89" s="413" t="s">
        <v>467</v>
      </c>
      <c r="B89" s="1011"/>
    </row>
    <row r="91" spans="1:2" ht="15.75">
      <c r="A91" s="308" t="s">
        <v>468</v>
      </c>
      <c r="B91" s="308"/>
    </row>
    <row r="92" ht="15.75">
      <c r="A92" s="301" t="s">
        <v>469</v>
      </c>
    </row>
    <row r="93" ht="15.75">
      <c r="A93" s="301" t="s">
        <v>470</v>
      </c>
    </row>
    <row r="94" ht="15.75">
      <c r="A94" s="301" t="s">
        <v>471</v>
      </c>
    </row>
    <row r="95" ht="15.75">
      <c r="A95" s="301" t="s">
        <v>472</v>
      </c>
    </row>
    <row r="96" ht="15.75">
      <c r="A96" s="301" t="s">
        <v>473</v>
      </c>
    </row>
    <row r="97" ht="15.75">
      <c r="A97" s="301" t="s">
        <v>474</v>
      </c>
    </row>
    <row r="98" spans="1:2" ht="15.75">
      <c r="A98" s="1012" t="s">
        <v>475</v>
      </c>
      <c r="B98" s="1012"/>
    </row>
    <row r="100" spans="1:2" ht="15.75">
      <c r="A100" s="1013" t="str">
        <f>'10 (ДЭС с.Пахачи) '!A100:B100</f>
        <v>Начальник ПТО                                                                                                         С.А.Апекин</v>
      </c>
      <c r="B100" s="1013"/>
    </row>
    <row r="101" ht="15.75">
      <c r="B101" s="309"/>
    </row>
    <row r="102" ht="15.75">
      <c r="B102" s="310"/>
    </row>
  </sheetData>
  <sheetProtection/>
  <mergeCells count="5">
    <mergeCell ref="A13:B13"/>
    <mergeCell ref="A14:B14"/>
    <mergeCell ref="B84:B89"/>
    <mergeCell ref="A98:B98"/>
    <mergeCell ref="A100:B100"/>
  </mergeCells>
  <printOptions/>
  <pageMargins left="0.7" right="0.23" top="0.75" bottom="0.32" header="0.3" footer="0.3"/>
  <pageSetup fitToHeight="2" fitToWidth="1" horizontalDpi="600" verticalDpi="600" orientation="portrait" paperSize="9" scale="7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02"/>
  <sheetViews>
    <sheetView view="pageBreakPreview" zoomScale="75" zoomScaleNormal="90" zoomScaleSheetLayoutView="75" zoomScalePageLayoutView="0" workbookViewId="0" topLeftCell="A1">
      <selection activeCell="C32" sqref="C32"/>
    </sheetView>
  </sheetViews>
  <sheetFormatPr defaultColWidth="9.00390625" defaultRowHeight="15.75"/>
  <cols>
    <col min="1" max="1" width="57.875" style="301" customWidth="1"/>
    <col min="2" max="2" width="64.75390625" style="301" customWidth="1"/>
    <col min="3" max="3" width="25.625" style="464" customWidth="1"/>
    <col min="4" max="5" width="9.00390625" style="303" customWidth="1"/>
    <col min="6" max="6" width="9.75390625" style="480" bestFit="1" customWidth="1"/>
    <col min="7" max="8" width="9.00390625" style="480" customWidth="1"/>
    <col min="9" max="16384" width="9.00390625" style="303" customWidth="1"/>
  </cols>
  <sheetData>
    <row r="1" ht="15.75">
      <c r="B1" s="302" t="s">
        <v>401</v>
      </c>
    </row>
    <row r="2" ht="15.75">
      <c r="B2" s="302" t="s">
        <v>37</v>
      </c>
    </row>
    <row r="3" ht="15.75">
      <c r="B3" s="289" t="s">
        <v>379</v>
      </c>
    </row>
    <row r="4" ht="15.75">
      <c r="B4" s="304"/>
    </row>
    <row r="5" ht="15.75">
      <c r="B5" s="2" t="s">
        <v>38</v>
      </c>
    </row>
    <row r="6" ht="15.75">
      <c r="B6" s="2" t="s">
        <v>647</v>
      </c>
    </row>
    <row r="7" ht="15.75">
      <c r="B7" s="2"/>
    </row>
    <row r="8" ht="15.75">
      <c r="B8" s="2" t="s">
        <v>648</v>
      </c>
    </row>
    <row r="9" ht="15.75">
      <c r="B9" s="2" t="s">
        <v>795</v>
      </c>
    </row>
    <row r="10" ht="15.75">
      <c r="B10" s="2" t="s">
        <v>42</v>
      </c>
    </row>
    <row r="11" ht="15.75">
      <c r="B11" s="305"/>
    </row>
    <row r="12" ht="15.75">
      <c r="B12" s="305"/>
    </row>
    <row r="13" spans="1:2" ht="30.75" customHeight="1">
      <c r="A13" s="1006" t="str">
        <f>'10 (ГСМ склад с.Вывенка)'!A13:B13</f>
        <v>Отчет о ходе реализации проектов (заполняется для наиболее значимых проектов*)
(представляется ежеквартально - 4 квартал 2016 года)</v>
      </c>
      <c r="B13" s="1007"/>
    </row>
    <row r="14" spans="1:2" ht="32.25" customHeight="1">
      <c r="A14" s="1008" t="str">
        <f>'10 (ГСМ склад с.Вывенка)'!A14:B14</f>
        <v>"Реконструкция и развитие электроснабжения АО "Корякэнерго"</v>
      </c>
      <c r="B14" s="1008"/>
    </row>
    <row r="15" ht="16.5" thickBot="1">
      <c r="B15" s="306"/>
    </row>
    <row r="16" spans="1:2" ht="29.25" thickBot="1">
      <c r="A16" s="404" t="s">
        <v>274</v>
      </c>
      <c r="B16" s="426" t="str">
        <f>'7.1'!B40</f>
        <v>Строительство склада ГСМ в с. Тиличики 2000м3 (одна емкость 2000м3) с трубопроводом и насосной станцией</v>
      </c>
    </row>
    <row r="17" spans="1:2" ht="16.5" thickBot="1">
      <c r="A17" s="404" t="s">
        <v>402</v>
      </c>
      <c r="B17" s="416" t="s">
        <v>566</v>
      </c>
    </row>
    <row r="18" spans="1:2" ht="16.5" thickBot="1">
      <c r="A18" s="404" t="s">
        <v>403</v>
      </c>
      <c r="B18" s="417" t="s">
        <v>480</v>
      </c>
    </row>
    <row r="19" spans="1:2" ht="16.5" thickBot="1">
      <c r="A19" s="404" t="s">
        <v>404</v>
      </c>
      <c r="B19" s="450" t="s">
        <v>755</v>
      </c>
    </row>
    <row r="20" spans="1:2" ht="16.5" thickBot="1">
      <c r="A20" s="405" t="s">
        <v>405</v>
      </c>
      <c r="B20" s="451" t="s">
        <v>814</v>
      </c>
    </row>
    <row r="21" spans="1:2" ht="16.5" thickBot="1">
      <c r="A21" s="406" t="s">
        <v>406</v>
      </c>
      <c r="B21" s="452" t="s">
        <v>606</v>
      </c>
    </row>
    <row r="22" spans="1:2" ht="16.5" thickBot="1">
      <c r="A22" s="307" t="s">
        <v>407</v>
      </c>
      <c r="B22" s="398"/>
    </row>
    <row r="23" spans="1:2" ht="30.75" thickBot="1">
      <c r="A23" s="398" t="s">
        <v>409</v>
      </c>
      <c r="B23" s="399" t="s">
        <v>652</v>
      </c>
    </row>
    <row r="24" spans="1:2" ht="60.75" thickBot="1">
      <c r="A24" s="401" t="s">
        <v>410</v>
      </c>
      <c r="B24" s="399" t="s">
        <v>601</v>
      </c>
    </row>
    <row r="25" spans="1:2" ht="60.75" thickBot="1">
      <c r="A25" s="398" t="s">
        <v>411</v>
      </c>
      <c r="B25" s="398" t="s">
        <v>408</v>
      </c>
    </row>
    <row r="26" spans="1:2" ht="16.5" thickBot="1">
      <c r="A26" s="405" t="s">
        <v>412</v>
      </c>
      <c r="B26" s="398"/>
    </row>
    <row r="27" spans="1:2" ht="30.75" thickBot="1">
      <c r="A27" s="398" t="s">
        <v>413</v>
      </c>
      <c r="B27" s="398"/>
    </row>
    <row r="28" spans="1:2" ht="16.5" thickBot="1">
      <c r="A28" s="405" t="s">
        <v>414</v>
      </c>
      <c r="B28" s="398"/>
    </row>
    <row r="29" spans="1:2" ht="30.75" thickBot="1">
      <c r="A29" s="407" t="s">
        <v>415</v>
      </c>
      <c r="B29" s="398"/>
    </row>
    <row r="30" spans="1:2" ht="16.5" thickBot="1">
      <c r="A30" s="405" t="s">
        <v>416</v>
      </c>
      <c r="B30" s="418"/>
    </row>
    <row r="31" spans="1:2" ht="16.5" thickBot="1">
      <c r="A31" s="307" t="s">
        <v>418</v>
      </c>
      <c r="B31" s="419"/>
    </row>
    <row r="32" spans="1:2" ht="19.5" customHeight="1" thickBot="1">
      <c r="A32" s="405" t="s">
        <v>419</v>
      </c>
      <c r="B32" s="401"/>
    </row>
    <row r="33" spans="1:2" ht="28.5">
      <c r="A33" s="307" t="s">
        <v>420</v>
      </c>
      <c r="B33" s="401"/>
    </row>
    <row r="34" spans="1:2" ht="45">
      <c r="A34" s="402" t="s">
        <v>421</v>
      </c>
      <c r="B34" s="402" t="s">
        <v>408</v>
      </c>
    </row>
    <row r="35" spans="1:2" ht="15.75">
      <c r="A35" s="402" t="s">
        <v>422</v>
      </c>
      <c r="B35" s="402" t="s">
        <v>408</v>
      </c>
    </row>
    <row r="36" spans="1:2" ht="15.75">
      <c r="A36" s="402" t="s">
        <v>423</v>
      </c>
      <c r="B36" s="402" t="s">
        <v>408</v>
      </c>
    </row>
    <row r="37" spans="1:2" ht="16.5" thickBot="1">
      <c r="A37" s="408" t="s">
        <v>424</v>
      </c>
      <c r="B37" s="402" t="s">
        <v>408</v>
      </c>
    </row>
    <row r="38" spans="1:2" ht="16.5" thickBot="1">
      <c r="A38" s="409" t="s">
        <v>425</v>
      </c>
      <c r="B38" s="420">
        <v>59</v>
      </c>
    </row>
    <row r="39" spans="1:2" ht="16.5" thickBot="1">
      <c r="A39" s="398" t="s">
        <v>426</v>
      </c>
      <c r="B39" s="398" t="s">
        <v>427</v>
      </c>
    </row>
    <row r="40" spans="1:2" ht="29.25" thickBot="1">
      <c r="A40" s="410" t="s">
        <v>428</v>
      </c>
      <c r="B40" s="421">
        <f>B41</f>
        <v>9.13086</v>
      </c>
    </row>
    <row r="41" spans="1:2" ht="29.25" thickBot="1">
      <c r="A41" s="410" t="s">
        <v>429</v>
      </c>
      <c r="B41" s="421">
        <f>B44+B54</f>
        <v>9.13086</v>
      </c>
    </row>
    <row r="42" spans="1:2" ht="16.5" thickBot="1">
      <c r="A42" s="399" t="s">
        <v>301</v>
      </c>
      <c r="B42" s="414"/>
    </row>
    <row r="43" spans="1:3" ht="45.75" thickBot="1">
      <c r="A43" s="410" t="s">
        <v>430</v>
      </c>
      <c r="B43" s="421" t="s">
        <v>596</v>
      </c>
      <c r="C43" s="465"/>
    </row>
    <row r="44" spans="1:2" ht="16.5" thickBot="1">
      <c r="A44" s="399" t="s">
        <v>431</v>
      </c>
      <c r="B44" s="414">
        <v>3.63086</v>
      </c>
    </row>
    <row r="45" spans="1:2" ht="16.5" thickBot="1">
      <c r="A45" s="399" t="s">
        <v>432</v>
      </c>
      <c r="B45" s="398"/>
    </row>
    <row r="46" spans="1:2" ht="16.5" thickBot="1">
      <c r="A46" s="399" t="s">
        <v>433</v>
      </c>
      <c r="B46" s="398"/>
    </row>
    <row r="47" spans="1:2" ht="16.5" thickBot="1">
      <c r="A47" s="399" t="s">
        <v>434</v>
      </c>
      <c r="B47" s="398"/>
    </row>
    <row r="48" spans="1:2" ht="29.25" thickBot="1">
      <c r="A48" s="410" t="s">
        <v>435</v>
      </c>
      <c r="B48" s="398"/>
    </row>
    <row r="49" spans="1:2" ht="16.5" thickBot="1">
      <c r="A49" s="399" t="s">
        <v>431</v>
      </c>
      <c r="B49" s="398"/>
    </row>
    <row r="50" spans="1:2" ht="16.5" thickBot="1">
      <c r="A50" s="399" t="s">
        <v>432</v>
      </c>
      <c r="B50" s="398"/>
    </row>
    <row r="51" spans="1:2" ht="16.5" thickBot="1">
      <c r="A51" s="399" t="s">
        <v>433</v>
      </c>
      <c r="B51" s="398"/>
    </row>
    <row r="52" spans="1:2" ht="16.5" thickBot="1">
      <c r="A52" s="399" t="s">
        <v>434</v>
      </c>
      <c r="B52" s="398"/>
    </row>
    <row r="53" spans="1:2" ht="30.75" thickBot="1">
      <c r="A53" s="410" t="s">
        <v>436</v>
      </c>
      <c r="B53" s="398" t="s">
        <v>808</v>
      </c>
    </row>
    <row r="54" spans="1:2" ht="16.5" thickBot="1">
      <c r="A54" s="399" t="s">
        <v>431</v>
      </c>
      <c r="B54" s="421">
        <v>5.5</v>
      </c>
    </row>
    <row r="55" spans="1:2" ht="16.5" thickBot="1">
      <c r="A55" s="399" t="s">
        <v>432</v>
      </c>
      <c r="B55" s="398"/>
    </row>
    <row r="56" spans="1:2" ht="16.5" thickBot="1">
      <c r="A56" s="399" t="s">
        <v>433</v>
      </c>
      <c r="B56" s="399"/>
    </row>
    <row r="57" spans="1:2" ht="16.5" thickBot="1">
      <c r="A57" s="399" t="s">
        <v>434</v>
      </c>
      <c r="B57" s="398"/>
    </row>
    <row r="58" spans="1:2" ht="29.25" thickBot="1">
      <c r="A58" s="411" t="s">
        <v>437</v>
      </c>
      <c r="B58" s="422"/>
    </row>
    <row r="59" spans="1:2" ht="16.5" thickBot="1">
      <c r="A59" s="412" t="s">
        <v>301</v>
      </c>
      <c r="B59" s="422"/>
    </row>
    <row r="60" spans="1:2" ht="16.5" thickBot="1">
      <c r="A60" s="412" t="s">
        <v>438</v>
      </c>
      <c r="B60" s="422"/>
    </row>
    <row r="61" spans="1:2" ht="16.5" thickBot="1">
      <c r="A61" s="412" t="s">
        <v>439</v>
      </c>
      <c r="B61" s="422"/>
    </row>
    <row r="62" spans="1:2" ht="16.5" thickBot="1">
      <c r="A62" s="412" t="s">
        <v>440</v>
      </c>
      <c r="B62" s="422"/>
    </row>
    <row r="63" spans="1:2" ht="16.5" thickBot="1">
      <c r="A63" s="410" t="s">
        <v>441</v>
      </c>
      <c r="B63" s="423">
        <f>B64/B38</f>
        <v>0.04459084745762712</v>
      </c>
    </row>
    <row r="64" spans="1:2" ht="16.5" thickBot="1">
      <c r="A64" s="410" t="s">
        <v>442</v>
      </c>
      <c r="B64" s="424">
        <v>2.63086</v>
      </c>
    </row>
    <row r="65" spans="1:2" ht="16.5" thickBot="1">
      <c r="A65" s="410" t="s">
        <v>443</v>
      </c>
      <c r="B65" s="423">
        <f>B66/B38</f>
        <v>0.061540000000000004</v>
      </c>
    </row>
    <row r="66" spans="1:2" ht="16.5" thickBot="1">
      <c r="A66" s="409" t="s">
        <v>444</v>
      </c>
      <c r="B66" s="425">
        <v>3.63086</v>
      </c>
    </row>
    <row r="67" spans="1:2" ht="15.75">
      <c r="A67" s="307" t="s">
        <v>445</v>
      </c>
      <c r="B67" s="401"/>
    </row>
    <row r="68" spans="1:2" ht="15.75">
      <c r="A68" s="402" t="s">
        <v>446</v>
      </c>
      <c r="B68" s="402" t="s">
        <v>654</v>
      </c>
    </row>
    <row r="69" spans="1:5" ht="15.75">
      <c r="A69" s="402" t="s">
        <v>447</v>
      </c>
      <c r="B69" s="453"/>
      <c r="D69" s="454"/>
      <c r="E69" s="454"/>
    </row>
    <row r="70" spans="1:2" ht="15.75">
      <c r="A70" s="402" t="s">
        <v>448</v>
      </c>
      <c r="B70" s="402"/>
    </row>
    <row r="71" spans="1:2" ht="15.75">
      <c r="A71" s="402" t="s">
        <v>449</v>
      </c>
      <c r="B71" s="453" t="s">
        <v>597</v>
      </c>
    </row>
    <row r="72" spans="1:2" ht="16.5" thickBot="1">
      <c r="A72" s="403" t="s">
        <v>450</v>
      </c>
      <c r="B72" s="403"/>
    </row>
    <row r="73" spans="1:2" ht="30.75" thickBot="1">
      <c r="A73" s="401" t="s">
        <v>451</v>
      </c>
      <c r="B73" s="398" t="s">
        <v>452</v>
      </c>
    </row>
    <row r="74" spans="1:2" ht="29.25" thickBot="1">
      <c r="A74" s="405" t="s">
        <v>453</v>
      </c>
      <c r="B74" s="398"/>
    </row>
    <row r="75" spans="1:2" ht="16.5" thickBot="1">
      <c r="A75" s="401" t="s">
        <v>301</v>
      </c>
      <c r="B75" s="400"/>
    </row>
    <row r="76" spans="1:2" ht="16.5" thickBot="1">
      <c r="A76" s="401" t="s">
        <v>454</v>
      </c>
      <c r="B76" s="398"/>
    </row>
    <row r="77" spans="1:2" ht="16.5" thickBot="1">
      <c r="A77" s="401" t="s">
        <v>455</v>
      </c>
      <c r="B77" s="400"/>
    </row>
    <row r="78" spans="1:2" ht="16.5" thickBot="1">
      <c r="A78" s="307" t="s">
        <v>456</v>
      </c>
      <c r="B78" s="401"/>
    </row>
    <row r="79" spans="1:2" ht="16.5" thickBot="1">
      <c r="A79" s="405" t="s">
        <v>457</v>
      </c>
      <c r="B79" s="401"/>
    </row>
    <row r="80" spans="1:2" ht="16.5" thickBot="1">
      <c r="A80" s="402" t="s">
        <v>458</v>
      </c>
      <c r="B80" s="400"/>
    </row>
    <row r="81" spans="1:2" ht="16.5" thickBot="1">
      <c r="A81" s="402" t="s">
        <v>459</v>
      </c>
      <c r="B81" s="400"/>
    </row>
    <row r="82" spans="1:2" ht="16.5" thickBot="1">
      <c r="A82" s="402" t="s">
        <v>460</v>
      </c>
      <c r="B82" s="400"/>
    </row>
    <row r="83" spans="1:2" ht="29.25" thickBot="1">
      <c r="A83" s="307" t="s">
        <v>461</v>
      </c>
      <c r="B83" s="400"/>
    </row>
    <row r="84" spans="1:2" ht="28.5">
      <c r="A84" s="307" t="s">
        <v>462</v>
      </c>
      <c r="B84" s="1009"/>
    </row>
    <row r="85" spans="1:2" ht="15.75">
      <c r="A85" s="402" t="s">
        <v>463</v>
      </c>
      <c r="B85" s="1010"/>
    </row>
    <row r="86" spans="1:2" ht="15.75">
      <c r="A86" s="402" t="s">
        <v>464</v>
      </c>
      <c r="B86" s="1010"/>
    </row>
    <row r="87" spans="1:2" ht="15.75">
      <c r="A87" s="402" t="s">
        <v>465</v>
      </c>
      <c r="B87" s="1010"/>
    </row>
    <row r="88" spans="1:2" ht="15.75">
      <c r="A88" s="402" t="s">
        <v>466</v>
      </c>
      <c r="B88" s="1010"/>
    </row>
    <row r="89" spans="1:2" ht="16.5" thickBot="1">
      <c r="A89" s="413" t="s">
        <v>467</v>
      </c>
      <c r="B89" s="1011"/>
    </row>
    <row r="91" spans="1:2" ht="15.75">
      <c r="A91" s="308" t="s">
        <v>468</v>
      </c>
      <c r="B91" s="308"/>
    </row>
    <row r="92" ht="15.75">
      <c r="A92" s="301" t="s">
        <v>469</v>
      </c>
    </row>
    <row r="93" ht="15.75">
      <c r="A93" s="301" t="s">
        <v>470</v>
      </c>
    </row>
    <row r="94" ht="15.75">
      <c r="A94" s="301" t="s">
        <v>471</v>
      </c>
    </row>
    <row r="95" ht="15.75">
      <c r="A95" s="301" t="s">
        <v>472</v>
      </c>
    </row>
    <row r="96" ht="15.75">
      <c r="A96" s="301" t="s">
        <v>473</v>
      </c>
    </row>
    <row r="97" ht="15.75">
      <c r="A97" s="301" t="s">
        <v>474</v>
      </c>
    </row>
    <row r="98" spans="1:2" ht="15.75">
      <c r="A98" s="1012" t="s">
        <v>475</v>
      </c>
      <c r="B98" s="1012"/>
    </row>
    <row r="100" spans="1:2" ht="15.75">
      <c r="A100" s="1013" t="str">
        <f>'10 (ГСМ склад с.Вывенка)'!A100:B100</f>
        <v>Начальник ПТО                                                                                                         С.А.Апекин</v>
      </c>
      <c r="B100" s="1013"/>
    </row>
    <row r="101" ht="15.75">
      <c r="B101" s="309"/>
    </row>
    <row r="102" ht="15.75">
      <c r="B102" s="310"/>
    </row>
  </sheetData>
  <sheetProtection/>
  <mergeCells count="5">
    <mergeCell ref="A13:B13"/>
    <mergeCell ref="A14:B14"/>
    <mergeCell ref="B84:B89"/>
    <mergeCell ref="A98:B98"/>
    <mergeCell ref="A100:B100"/>
  </mergeCells>
  <printOptions/>
  <pageMargins left="0.7" right="0.23" top="0.75" bottom="0.32" header="0.3" footer="0.3"/>
  <pageSetup fitToHeight="2" fitToWidth="1" horizontalDpi="600" verticalDpi="600" orientation="portrait" paperSize="9" scale="7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02"/>
  <sheetViews>
    <sheetView view="pageBreakPreview" zoomScale="75" zoomScaleNormal="90" zoomScaleSheetLayoutView="75" zoomScalePageLayoutView="0" workbookViewId="0" topLeftCell="A1">
      <selection activeCell="D27" sqref="D27"/>
    </sheetView>
  </sheetViews>
  <sheetFormatPr defaultColWidth="9.00390625" defaultRowHeight="15.75"/>
  <cols>
    <col min="1" max="1" width="57.875" style="301" customWidth="1"/>
    <col min="2" max="2" width="64.75390625" style="301" customWidth="1"/>
    <col min="3" max="3" width="25.625" style="464" customWidth="1"/>
    <col min="4" max="5" width="9.00390625" style="303" customWidth="1"/>
    <col min="6" max="6" width="9.75390625" style="480" bestFit="1" customWidth="1"/>
    <col min="7" max="8" width="9.00390625" style="480" customWidth="1"/>
    <col min="9" max="16384" width="9.00390625" style="303" customWidth="1"/>
  </cols>
  <sheetData>
    <row r="1" ht="15.75">
      <c r="B1" s="302" t="s">
        <v>401</v>
      </c>
    </row>
    <row r="2" ht="15.75">
      <c r="B2" s="302" t="s">
        <v>37</v>
      </c>
    </row>
    <row r="3" ht="15.75">
      <c r="B3" s="289" t="s">
        <v>379</v>
      </c>
    </row>
    <row r="4" ht="15.75">
      <c r="B4" s="304"/>
    </row>
    <row r="5" ht="15.75">
      <c r="B5" s="2" t="s">
        <v>38</v>
      </c>
    </row>
    <row r="6" ht="15.75">
      <c r="B6" s="2" t="s">
        <v>647</v>
      </c>
    </row>
    <row r="7" ht="15.75">
      <c r="B7" s="2"/>
    </row>
    <row r="8" ht="15.75">
      <c r="B8" s="2" t="s">
        <v>648</v>
      </c>
    </row>
    <row r="9" ht="15.75">
      <c r="B9" s="2" t="s">
        <v>795</v>
      </c>
    </row>
    <row r="10" ht="15.75">
      <c r="B10" s="2" t="s">
        <v>42</v>
      </c>
    </row>
    <row r="11" ht="15.75">
      <c r="B11" s="305"/>
    </row>
    <row r="12" ht="15.75">
      <c r="B12" s="305"/>
    </row>
    <row r="13" spans="1:2" ht="30.75" customHeight="1">
      <c r="A13" s="1006" t="s">
        <v>789</v>
      </c>
      <c r="B13" s="1007"/>
    </row>
    <row r="14" spans="1:2" ht="32.25" customHeight="1">
      <c r="A14" s="1008" t="str">
        <f>'10 (ГСМ склад с.Тиличики)'!A14:B14</f>
        <v>"Реконструкция и развитие электроснабжения АО "Корякэнерго"</v>
      </c>
      <c r="B14" s="1008"/>
    </row>
    <row r="15" ht="16.5" thickBot="1">
      <c r="B15" s="306"/>
    </row>
    <row r="16" spans="1:2" ht="29.25" thickBot="1">
      <c r="A16" s="404" t="s">
        <v>274</v>
      </c>
      <c r="B16" s="426" t="str">
        <f>'7.1'!B41</f>
        <v>Строительство склада ГСМ в с.Средние Пахачи 500 м3 (две емкости 200м3 и 300м3)</v>
      </c>
    </row>
    <row r="17" spans="1:2" ht="16.5" thickBot="1">
      <c r="A17" s="404" t="s">
        <v>402</v>
      </c>
      <c r="B17" s="416" t="s">
        <v>573</v>
      </c>
    </row>
    <row r="18" spans="1:2" ht="16.5" thickBot="1">
      <c r="A18" s="404" t="s">
        <v>403</v>
      </c>
      <c r="B18" s="417" t="s">
        <v>480</v>
      </c>
    </row>
    <row r="19" spans="1:2" ht="16.5" thickBot="1">
      <c r="A19" s="404" t="s">
        <v>404</v>
      </c>
      <c r="B19" s="450" t="s">
        <v>815</v>
      </c>
    </row>
    <row r="20" spans="1:2" ht="16.5" thickBot="1">
      <c r="A20" s="405" t="s">
        <v>405</v>
      </c>
      <c r="B20" s="451" t="s">
        <v>814</v>
      </c>
    </row>
    <row r="21" spans="1:2" ht="16.5" thickBot="1">
      <c r="A21" s="406" t="s">
        <v>406</v>
      </c>
      <c r="B21" s="452" t="s">
        <v>709</v>
      </c>
    </row>
    <row r="22" spans="1:2" ht="16.5" thickBot="1">
      <c r="A22" s="307" t="s">
        <v>407</v>
      </c>
      <c r="B22" s="398" t="s">
        <v>408</v>
      </c>
    </row>
    <row r="23" spans="1:2" ht="30.75" thickBot="1">
      <c r="A23" s="398" t="s">
        <v>409</v>
      </c>
      <c r="B23" s="399" t="s">
        <v>652</v>
      </c>
    </row>
    <row r="24" spans="1:2" ht="60.75" thickBot="1">
      <c r="A24" s="401" t="s">
        <v>410</v>
      </c>
      <c r="B24" s="398" t="s">
        <v>408</v>
      </c>
    </row>
    <row r="25" spans="1:2" ht="60.75" thickBot="1">
      <c r="A25" s="398" t="s">
        <v>411</v>
      </c>
      <c r="B25" s="398" t="s">
        <v>408</v>
      </c>
    </row>
    <row r="26" spans="1:2" ht="16.5" thickBot="1">
      <c r="A26" s="405" t="s">
        <v>412</v>
      </c>
      <c r="B26" s="398"/>
    </row>
    <row r="27" spans="1:2" ht="30.75" thickBot="1">
      <c r="A27" s="398" t="s">
        <v>413</v>
      </c>
      <c r="B27" s="398"/>
    </row>
    <row r="28" spans="1:2" ht="16.5" thickBot="1">
      <c r="A28" s="405" t="s">
        <v>414</v>
      </c>
      <c r="B28" s="398"/>
    </row>
    <row r="29" spans="1:2" ht="30.75" thickBot="1">
      <c r="A29" s="407" t="s">
        <v>415</v>
      </c>
      <c r="B29" s="398" t="s">
        <v>408</v>
      </c>
    </row>
    <row r="30" spans="1:2" ht="16.5" thickBot="1">
      <c r="A30" s="405" t="s">
        <v>416</v>
      </c>
      <c r="B30" s="418"/>
    </row>
    <row r="31" spans="1:2" ht="16.5" thickBot="1">
      <c r="A31" s="307" t="s">
        <v>418</v>
      </c>
      <c r="B31" s="419"/>
    </row>
    <row r="32" spans="1:2" ht="19.5" customHeight="1" thickBot="1">
      <c r="A32" s="405" t="s">
        <v>419</v>
      </c>
      <c r="B32" s="401"/>
    </row>
    <row r="33" spans="1:2" ht="28.5">
      <c r="A33" s="307" t="s">
        <v>420</v>
      </c>
      <c r="B33" s="401"/>
    </row>
    <row r="34" spans="1:2" ht="45">
      <c r="A34" s="402" t="s">
        <v>421</v>
      </c>
      <c r="B34" s="402" t="s">
        <v>408</v>
      </c>
    </row>
    <row r="35" spans="1:2" ht="15.75">
      <c r="A35" s="402" t="s">
        <v>422</v>
      </c>
      <c r="B35" s="402" t="s">
        <v>408</v>
      </c>
    </row>
    <row r="36" spans="1:2" ht="15.75">
      <c r="A36" s="402" t="s">
        <v>423</v>
      </c>
      <c r="B36" s="402" t="s">
        <v>408</v>
      </c>
    </row>
    <row r="37" spans="1:2" ht="16.5" thickBot="1">
      <c r="A37" s="408" t="s">
        <v>424</v>
      </c>
      <c r="B37" s="402" t="s">
        <v>408</v>
      </c>
    </row>
    <row r="38" spans="1:2" ht="16.5" thickBot="1">
      <c r="A38" s="409" t="s">
        <v>425</v>
      </c>
      <c r="B38" s="420">
        <v>23.6</v>
      </c>
    </row>
    <row r="39" spans="1:2" ht="16.5" thickBot="1">
      <c r="A39" s="398" t="s">
        <v>426</v>
      </c>
      <c r="B39" s="399" t="s">
        <v>427</v>
      </c>
    </row>
    <row r="40" spans="1:2" ht="29.25" thickBot="1">
      <c r="A40" s="410" t="s">
        <v>428</v>
      </c>
      <c r="B40" s="421">
        <f>B41</f>
        <v>2.89748252</v>
      </c>
    </row>
    <row r="41" spans="1:2" ht="29.25" thickBot="1">
      <c r="A41" s="410" t="s">
        <v>429</v>
      </c>
      <c r="B41" s="421">
        <f>B44+B54</f>
        <v>2.89748252</v>
      </c>
    </row>
    <row r="42" spans="1:2" ht="16.5" thickBot="1">
      <c r="A42" s="399" t="s">
        <v>301</v>
      </c>
      <c r="B42" s="421"/>
    </row>
    <row r="43" spans="1:3" ht="29.25" thickBot="1">
      <c r="A43" s="410" t="s">
        <v>430</v>
      </c>
      <c r="B43" s="421" t="s">
        <v>756</v>
      </c>
      <c r="C43" s="465"/>
    </row>
    <row r="44" spans="1:2" ht="16.5" thickBot="1">
      <c r="A44" s="399" t="s">
        <v>431</v>
      </c>
      <c r="B44" s="421">
        <v>2.89748252</v>
      </c>
    </row>
    <row r="45" spans="1:2" ht="16.5" thickBot="1">
      <c r="A45" s="399" t="s">
        <v>432</v>
      </c>
      <c r="B45" s="399"/>
    </row>
    <row r="46" spans="1:2" ht="16.5" thickBot="1">
      <c r="A46" s="399" t="s">
        <v>433</v>
      </c>
      <c r="B46" s="398"/>
    </row>
    <row r="47" spans="1:2" ht="16.5" thickBot="1">
      <c r="A47" s="399" t="s">
        <v>434</v>
      </c>
      <c r="B47" s="398"/>
    </row>
    <row r="48" spans="1:2" ht="29.25" thickBot="1">
      <c r="A48" s="410" t="s">
        <v>435</v>
      </c>
      <c r="B48" s="398"/>
    </row>
    <row r="49" spans="1:2" ht="16.5" thickBot="1">
      <c r="A49" s="399" t="s">
        <v>431</v>
      </c>
      <c r="B49" s="398"/>
    </row>
    <row r="50" spans="1:2" ht="16.5" thickBot="1">
      <c r="A50" s="399" t="s">
        <v>432</v>
      </c>
      <c r="B50" s="398"/>
    </row>
    <row r="51" spans="1:2" ht="16.5" thickBot="1">
      <c r="A51" s="399" t="s">
        <v>433</v>
      </c>
      <c r="B51" s="398"/>
    </row>
    <row r="52" spans="1:2" ht="16.5" thickBot="1">
      <c r="A52" s="399" t="s">
        <v>434</v>
      </c>
      <c r="B52" s="398"/>
    </row>
    <row r="53" spans="1:2" ht="29.25" thickBot="1">
      <c r="A53" s="410" t="s">
        <v>436</v>
      </c>
      <c r="B53" s="399"/>
    </row>
    <row r="54" spans="1:2" ht="16.5" thickBot="1">
      <c r="A54" s="399" t="s">
        <v>431</v>
      </c>
      <c r="B54" s="421"/>
    </row>
    <row r="55" spans="1:2" ht="16.5" thickBot="1">
      <c r="A55" s="399" t="s">
        <v>432</v>
      </c>
      <c r="B55" s="398"/>
    </row>
    <row r="56" spans="1:2" ht="16.5" thickBot="1">
      <c r="A56" s="399" t="s">
        <v>433</v>
      </c>
      <c r="B56" s="399"/>
    </row>
    <row r="57" spans="1:2" ht="16.5" thickBot="1">
      <c r="A57" s="399" t="s">
        <v>434</v>
      </c>
      <c r="B57" s="398"/>
    </row>
    <row r="58" spans="1:2" ht="29.25" thickBot="1">
      <c r="A58" s="411" t="s">
        <v>437</v>
      </c>
      <c r="B58" s="422"/>
    </row>
    <row r="59" spans="1:2" ht="16.5" thickBot="1">
      <c r="A59" s="412" t="s">
        <v>301</v>
      </c>
      <c r="B59" s="422"/>
    </row>
    <row r="60" spans="1:2" ht="16.5" thickBot="1">
      <c r="A60" s="412" t="s">
        <v>438</v>
      </c>
      <c r="B60" s="422"/>
    </row>
    <row r="61" spans="1:2" ht="16.5" thickBot="1">
      <c r="A61" s="412" t="s">
        <v>439</v>
      </c>
      <c r="B61" s="422"/>
    </row>
    <row r="62" spans="1:2" ht="16.5" thickBot="1">
      <c r="A62" s="412" t="s">
        <v>440</v>
      </c>
      <c r="B62" s="422"/>
    </row>
    <row r="63" spans="1:2" ht="16.5" thickBot="1">
      <c r="A63" s="410" t="s">
        <v>441</v>
      </c>
      <c r="B63" s="423">
        <f>B64/B38</f>
        <v>0</v>
      </c>
    </row>
    <row r="64" spans="1:2" ht="16.5" thickBot="1">
      <c r="A64" s="410" t="s">
        <v>442</v>
      </c>
      <c r="B64" s="424">
        <f>'7.1'!E41</f>
        <v>0</v>
      </c>
    </row>
    <row r="65" spans="1:2" ht="16.5" thickBot="1">
      <c r="A65" s="410" t="s">
        <v>443</v>
      </c>
      <c r="B65" s="423">
        <f>B66/B38</f>
        <v>0.12277468305084745</v>
      </c>
    </row>
    <row r="66" spans="1:2" ht="16.5" thickBot="1">
      <c r="A66" s="409" t="s">
        <v>444</v>
      </c>
      <c r="B66" s="425">
        <f>'7.1'!N41</f>
        <v>2.89748252</v>
      </c>
    </row>
    <row r="67" spans="1:2" ht="15.75">
      <c r="A67" s="307" t="s">
        <v>445</v>
      </c>
      <c r="B67" s="431"/>
    </row>
    <row r="68" spans="1:2" ht="15.75">
      <c r="A68" s="402" t="s">
        <v>446</v>
      </c>
      <c r="B68" s="453" t="s">
        <v>654</v>
      </c>
    </row>
    <row r="69" spans="1:5" ht="15.75">
      <c r="A69" s="402" t="s">
        <v>447</v>
      </c>
      <c r="B69" s="453"/>
      <c r="D69" s="454"/>
      <c r="E69" s="454"/>
    </row>
    <row r="70" spans="1:2" ht="15.75">
      <c r="A70" s="402" t="s">
        <v>448</v>
      </c>
      <c r="B70" s="453"/>
    </row>
    <row r="71" spans="1:2" ht="15.75">
      <c r="A71" s="402" t="s">
        <v>449</v>
      </c>
      <c r="B71" s="453" t="s">
        <v>710</v>
      </c>
    </row>
    <row r="72" spans="1:2" ht="16.5" thickBot="1">
      <c r="A72" s="403" t="s">
        <v>450</v>
      </c>
      <c r="B72" s="492"/>
    </row>
    <row r="73" spans="1:2" ht="30.75" thickBot="1">
      <c r="A73" s="401" t="s">
        <v>451</v>
      </c>
      <c r="B73" s="399" t="s">
        <v>452</v>
      </c>
    </row>
    <row r="74" spans="1:2" ht="29.25" thickBot="1">
      <c r="A74" s="405" t="s">
        <v>453</v>
      </c>
      <c r="B74" s="399"/>
    </row>
    <row r="75" spans="1:2" ht="16.5" thickBot="1">
      <c r="A75" s="401" t="s">
        <v>301</v>
      </c>
      <c r="B75" s="551"/>
    </row>
    <row r="76" spans="1:2" ht="16.5" thickBot="1">
      <c r="A76" s="401" t="s">
        <v>454</v>
      </c>
      <c r="B76" s="399"/>
    </row>
    <row r="77" spans="1:2" ht="16.5" thickBot="1">
      <c r="A77" s="401" t="s">
        <v>455</v>
      </c>
      <c r="B77" s="551"/>
    </row>
    <row r="78" spans="1:2" ht="16.5" thickBot="1">
      <c r="A78" s="307" t="s">
        <v>456</v>
      </c>
      <c r="B78" s="401"/>
    </row>
    <row r="79" spans="1:2" ht="16.5" thickBot="1">
      <c r="A79" s="405" t="s">
        <v>457</v>
      </c>
      <c r="B79" s="401"/>
    </row>
    <row r="80" spans="1:2" ht="16.5" thickBot="1">
      <c r="A80" s="402" t="s">
        <v>458</v>
      </c>
      <c r="B80" s="400"/>
    </row>
    <row r="81" spans="1:2" ht="16.5" thickBot="1">
      <c r="A81" s="402" t="s">
        <v>459</v>
      </c>
      <c r="B81" s="400"/>
    </row>
    <row r="82" spans="1:2" ht="16.5" thickBot="1">
      <c r="A82" s="402" t="s">
        <v>460</v>
      </c>
      <c r="B82" s="400"/>
    </row>
    <row r="83" spans="1:2" ht="29.25" thickBot="1">
      <c r="A83" s="307" t="s">
        <v>461</v>
      </c>
      <c r="B83" s="400"/>
    </row>
    <row r="84" spans="1:2" ht="28.5">
      <c r="A84" s="307" t="s">
        <v>462</v>
      </c>
      <c r="B84" s="1009"/>
    </row>
    <row r="85" spans="1:2" ht="15.75">
      <c r="A85" s="402" t="s">
        <v>463</v>
      </c>
      <c r="B85" s="1010"/>
    </row>
    <row r="86" spans="1:2" ht="15.75">
      <c r="A86" s="402" t="s">
        <v>464</v>
      </c>
      <c r="B86" s="1010"/>
    </row>
    <row r="87" spans="1:2" ht="15.75">
      <c r="A87" s="402" t="s">
        <v>465</v>
      </c>
      <c r="B87" s="1010"/>
    </row>
    <row r="88" spans="1:2" ht="15.75">
      <c r="A88" s="402" t="s">
        <v>466</v>
      </c>
      <c r="B88" s="1010"/>
    </row>
    <row r="89" spans="1:2" ht="16.5" thickBot="1">
      <c r="A89" s="413" t="s">
        <v>467</v>
      </c>
      <c r="B89" s="1011"/>
    </row>
    <row r="91" spans="1:2" ht="15.75">
      <c r="A91" s="308" t="s">
        <v>468</v>
      </c>
      <c r="B91" s="308"/>
    </row>
    <row r="92" ht="15.75">
      <c r="A92" s="301" t="s">
        <v>469</v>
      </c>
    </row>
    <row r="93" ht="15.75">
      <c r="A93" s="301" t="s">
        <v>470</v>
      </c>
    </row>
    <row r="94" ht="15.75">
      <c r="A94" s="301" t="s">
        <v>471</v>
      </c>
    </row>
    <row r="95" ht="15.75">
      <c r="A95" s="301" t="s">
        <v>472</v>
      </c>
    </row>
    <row r="96" ht="15.75">
      <c r="A96" s="301" t="s">
        <v>473</v>
      </c>
    </row>
    <row r="97" ht="15.75">
      <c r="A97" s="301" t="s">
        <v>474</v>
      </c>
    </row>
    <row r="98" spans="1:2" ht="15.75">
      <c r="A98" s="1012" t="s">
        <v>475</v>
      </c>
      <c r="B98" s="1012"/>
    </row>
    <row r="100" spans="1:2" ht="15.75">
      <c r="A100" s="1013" t="str">
        <f>'10 (ГСМ склад с.Тиличики)'!A100:B100</f>
        <v>Начальник ПТО                                                                                                         С.А.Апекин</v>
      </c>
      <c r="B100" s="1013"/>
    </row>
    <row r="101" ht="15.75">
      <c r="B101" s="309"/>
    </row>
    <row r="102" ht="15.75">
      <c r="B102" s="310"/>
    </row>
  </sheetData>
  <sheetProtection/>
  <mergeCells count="5">
    <mergeCell ref="A13:B13"/>
    <mergeCell ref="A14:B14"/>
    <mergeCell ref="B84:B89"/>
    <mergeCell ref="A98:B98"/>
    <mergeCell ref="A100:B100"/>
  </mergeCells>
  <printOptions/>
  <pageMargins left="0.7" right="0.23" top="0.75" bottom="0.32" header="0.3" footer="0.3"/>
  <pageSetup fitToHeight="2" fitToWidth="1" horizontalDpi="600" verticalDpi="600" orientation="portrait" paperSize="9" scale="7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02"/>
  <sheetViews>
    <sheetView view="pageBreakPreview" zoomScale="75" zoomScaleNormal="90" zoomScaleSheetLayoutView="75" zoomScalePageLayoutView="0" workbookViewId="0" topLeftCell="A34">
      <selection activeCell="B10" sqref="B10"/>
    </sheetView>
  </sheetViews>
  <sheetFormatPr defaultColWidth="9.00390625" defaultRowHeight="15.75"/>
  <cols>
    <col min="1" max="1" width="57.875" style="301" customWidth="1"/>
    <col min="2" max="2" width="66.25390625" style="301" customWidth="1"/>
    <col min="3" max="3" width="18.125" style="466" customWidth="1"/>
    <col min="4" max="4" width="29.75390625" style="468" customWidth="1"/>
    <col min="5" max="5" width="9.00390625" style="466" customWidth="1"/>
    <col min="6" max="6" width="9.75390625" style="478" bestFit="1" customWidth="1"/>
    <col min="7" max="8" width="9.00390625" style="478" customWidth="1"/>
    <col min="9" max="16384" width="9.00390625" style="303" customWidth="1"/>
  </cols>
  <sheetData>
    <row r="1" ht="15.75">
      <c r="B1" s="302" t="s">
        <v>401</v>
      </c>
    </row>
    <row r="2" ht="15.75">
      <c r="B2" s="302" t="s">
        <v>37</v>
      </c>
    </row>
    <row r="3" ht="15.75">
      <c r="B3" s="289" t="s">
        <v>379</v>
      </c>
    </row>
    <row r="4" ht="15.75">
      <c r="B4" s="304"/>
    </row>
    <row r="5" ht="15.75">
      <c r="B5" s="2" t="s">
        <v>38</v>
      </c>
    </row>
    <row r="6" ht="15.75">
      <c r="B6" s="2" t="s">
        <v>647</v>
      </c>
    </row>
    <row r="7" ht="15.75">
      <c r="B7" s="2"/>
    </row>
    <row r="8" ht="15.75">
      <c r="B8" s="2" t="s">
        <v>648</v>
      </c>
    </row>
    <row r="9" ht="15.75">
      <c r="B9" s="2" t="s">
        <v>795</v>
      </c>
    </row>
    <row r="10" ht="15.75">
      <c r="B10" s="2" t="s">
        <v>42</v>
      </c>
    </row>
    <row r="11" ht="15.75">
      <c r="B11" s="305"/>
    </row>
    <row r="12" ht="15.75">
      <c r="B12" s="305"/>
    </row>
    <row r="13" spans="1:2" ht="30.75" customHeight="1">
      <c r="A13" s="1006" t="str">
        <f>'10 (ГСМ склад с. Средние Пахач)'!A13:B13</f>
        <v>Отчет о ходе реализации проектов (заполняется для наиболее значимых проектов*)
(представляется ежеквартально - 4 квартал 2016 года)</v>
      </c>
      <c r="B13" s="1007"/>
    </row>
    <row r="14" spans="1:2" ht="32.25" customHeight="1">
      <c r="A14" s="1008" t="s">
        <v>651</v>
      </c>
      <c r="B14" s="1008"/>
    </row>
    <row r="15" ht="16.5" thickBot="1">
      <c r="B15" s="306"/>
    </row>
    <row r="16" spans="1:2" ht="16.5" thickBot="1">
      <c r="A16" s="404" t="s">
        <v>274</v>
      </c>
      <c r="B16" s="415" t="s">
        <v>393</v>
      </c>
    </row>
    <row r="17" spans="1:2" ht="16.5" thickBot="1">
      <c r="A17" s="404" t="s">
        <v>402</v>
      </c>
      <c r="B17" s="416" t="s">
        <v>476</v>
      </c>
    </row>
    <row r="18" spans="1:2" ht="16.5" thickBot="1">
      <c r="A18" s="404" t="s">
        <v>403</v>
      </c>
      <c r="B18" s="417" t="s">
        <v>480</v>
      </c>
    </row>
    <row r="19" spans="1:2" ht="16.5" thickBot="1">
      <c r="A19" s="404" t="s">
        <v>404</v>
      </c>
      <c r="B19" s="450" t="s">
        <v>562</v>
      </c>
    </row>
    <row r="20" spans="1:2" ht="16.5" thickBot="1">
      <c r="A20" s="405" t="s">
        <v>405</v>
      </c>
      <c r="B20" s="451" t="s">
        <v>477</v>
      </c>
    </row>
    <row r="21" spans="1:3" ht="30.75" thickBot="1">
      <c r="A21" s="406" t="s">
        <v>406</v>
      </c>
      <c r="B21" s="460" t="s">
        <v>598</v>
      </c>
      <c r="C21" s="467"/>
    </row>
    <row r="22" spans="1:2" ht="16.5" thickBot="1">
      <c r="A22" s="307" t="s">
        <v>407</v>
      </c>
      <c r="B22" s="398" t="s">
        <v>408</v>
      </c>
    </row>
    <row r="23" spans="1:2" ht="30.75" thickBot="1">
      <c r="A23" s="398" t="s">
        <v>409</v>
      </c>
      <c r="B23" s="399" t="s">
        <v>655</v>
      </c>
    </row>
    <row r="24" spans="1:2" ht="60.75" thickBot="1">
      <c r="A24" s="401" t="s">
        <v>410</v>
      </c>
      <c r="B24" s="398" t="s">
        <v>408</v>
      </c>
    </row>
    <row r="25" spans="1:2" ht="60.75" thickBot="1">
      <c r="A25" s="398" t="s">
        <v>411</v>
      </c>
      <c r="B25" s="398" t="s">
        <v>408</v>
      </c>
    </row>
    <row r="26" spans="1:2" ht="16.5" thickBot="1">
      <c r="A26" s="405" t="s">
        <v>412</v>
      </c>
      <c r="B26" s="398"/>
    </row>
    <row r="27" spans="1:2" ht="30.75" thickBot="1">
      <c r="A27" s="398" t="s">
        <v>413</v>
      </c>
      <c r="B27" s="398" t="s">
        <v>553</v>
      </c>
    </row>
    <row r="28" spans="1:2" ht="16.5" thickBot="1">
      <c r="A28" s="405" t="s">
        <v>414</v>
      </c>
      <c r="B28" s="398"/>
    </row>
    <row r="29" spans="1:2" ht="30.75" thickBot="1">
      <c r="A29" s="407" t="s">
        <v>415</v>
      </c>
      <c r="B29" s="398" t="s">
        <v>478</v>
      </c>
    </row>
    <row r="30" spans="1:2" ht="16.5" thickBot="1">
      <c r="A30" s="405" t="s">
        <v>416</v>
      </c>
      <c r="B30" s="418"/>
    </row>
    <row r="31" spans="1:2" ht="16.5" thickBot="1">
      <c r="A31" s="307" t="s">
        <v>418</v>
      </c>
      <c r="B31" s="419"/>
    </row>
    <row r="32" spans="1:2" ht="18.75" customHeight="1" thickBot="1">
      <c r="A32" s="405" t="s">
        <v>419</v>
      </c>
      <c r="B32" s="401"/>
    </row>
    <row r="33" spans="1:2" ht="28.5">
      <c r="A33" s="307" t="s">
        <v>420</v>
      </c>
      <c r="B33" s="401"/>
    </row>
    <row r="34" spans="1:2" ht="45">
      <c r="A34" s="402" t="s">
        <v>421</v>
      </c>
      <c r="B34" s="402" t="s">
        <v>408</v>
      </c>
    </row>
    <row r="35" spans="1:2" ht="15.75">
      <c r="A35" s="402" t="s">
        <v>422</v>
      </c>
      <c r="B35" s="402" t="s">
        <v>408</v>
      </c>
    </row>
    <row r="36" spans="1:2" ht="15.75">
      <c r="A36" s="402" t="s">
        <v>423</v>
      </c>
      <c r="B36" s="402" t="s">
        <v>408</v>
      </c>
    </row>
    <row r="37" spans="1:2" ht="16.5" thickBot="1">
      <c r="A37" s="408" t="s">
        <v>424</v>
      </c>
      <c r="B37" s="402" t="s">
        <v>408</v>
      </c>
    </row>
    <row r="38" spans="1:2" ht="16.5" thickBot="1">
      <c r="A38" s="409" t="s">
        <v>425</v>
      </c>
      <c r="B38" s="420">
        <f>B40</f>
        <v>4.7070929999999995</v>
      </c>
    </row>
    <row r="39" spans="1:2" ht="16.5" thickBot="1">
      <c r="A39" s="398" t="s">
        <v>426</v>
      </c>
      <c r="B39" s="398" t="s">
        <v>427</v>
      </c>
    </row>
    <row r="40" spans="1:2" ht="29.25" thickBot="1">
      <c r="A40" s="410" t="s">
        <v>428</v>
      </c>
      <c r="B40" s="421">
        <f>B41</f>
        <v>4.7070929999999995</v>
      </c>
    </row>
    <row r="41" spans="1:2" ht="29.25" thickBot="1">
      <c r="A41" s="410" t="s">
        <v>429</v>
      </c>
      <c r="B41" s="421">
        <f>B44+B54</f>
        <v>4.7070929999999995</v>
      </c>
    </row>
    <row r="42" spans="1:2" ht="16.5" thickBot="1">
      <c r="A42" s="399" t="s">
        <v>301</v>
      </c>
      <c r="B42" s="414"/>
    </row>
    <row r="43" spans="1:4" ht="30.75" thickBot="1">
      <c r="A43" s="410" t="s">
        <v>430</v>
      </c>
      <c r="B43" s="421" t="s">
        <v>546</v>
      </c>
      <c r="D43" s="469"/>
    </row>
    <row r="44" spans="1:3" ht="16.5" thickBot="1">
      <c r="A44" s="399" t="s">
        <v>431</v>
      </c>
      <c r="B44" s="421">
        <v>4.327093</v>
      </c>
      <c r="C44" s="466" t="s">
        <v>559</v>
      </c>
    </row>
    <row r="45" spans="1:2" ht="16.5" thickBot="1">
      <c r="A45" s="399" t="s">
        <v>432</v>
      </c>
      <c r="B45" s="398"/>
    </row>
    <row r="46" spans="1:2" ht="16.5" thickBot="1">
      <c r="A46" s="399" t="s">
        <v>433</v>
      </c>
      <c r="B46" s="398"/>
    </row>
    <row r="47" spans="1:2" ht="16.5" thickBot="1">
      <c r="A47" s="399" t="s">
        <v>434</v>
      </c>
      <c r="B47" s="398"/>
    </row>
    <row r="48" spans="1:2" ht="29.25" thickBot="1">
      <c r="A48" s="410" t="s">
        <v>435</v>
      </c>
      <c r="B48" s="398"/>
    </row>
    <row r="49" spans="1:2" ht="16.5" thickBot="1">
      <c r="A49" s="399" t="s">
        <v>431</v>
      </c>
      <c r="B49" s="398"/>
    </row>
    <row r="50" spans="1:2" ht="16.5" thickBot="1">
      <c r="A50" s="399" t="s">
        <v>432</v>
      </c>
      <c r="B50" s="398"/>
    </row>
    <row r="51" spans="1:2" ht="16.5" thickBot="1">
      <c r="A51" s="399" t="s">
        <v>433</v>
      </c>
      <c r="B51" s="398"/>
    </row>
    <row r="52" spans="1:2" ht="16.5" thickBot="1">
      <c r="A52" s="399" t="s">
        <v>434</v>
      </c>
      <c r="B52" s="398"/>
    </row>
    <row r="53" spans="1:4" ht="45.75" thickBot="1">
      <c r="A53" s="410" t="s">
        <v>436</v>
      </c>
      <c r="B53" s="399" t="s">
        <v>563</v>
      </c>
      <c r="D53" s="469"/>
    </row>
    <row r="54" spans="1:3" ht="16.5" thickBot="1">
      <c r="A54" s="399" t="s">
        <v>431</v>
      </c>
      <c r="B54" s="421">
        <v>0.38</v>
      </c>
      <c r="C54" s="466" t="s">
        <v>560</v>
      </c>
    </row>
    <row r="55" spans="1:2" ht="16.5" thickBot="1">
      <c r="A55" s="399" t="s">
        <v>432</v>
      </c>
      <c r="B55" s="398"/>
    </row>
    <row r="56" spans="1:2" ht="16.5" thickBot="1">
      <c r="A56" s="399" t="s">
        <v>433</v>
      </c>
      <c r="B56" s="398"/>
    </row>
    <row r="57" spans="1:2" ht="16.5" thickBot="1">
      <c r="A57" s="399" t="s">
        <v>434</v>
      </c>
      <c r="B57" s="398"/>
    </row>
    <row r="58" spans="1:2" ht="29.25" thickBot="1">
      <c r="A58" s="411" t="s">
        <v>437</v>
      </c>
      <c r="B58" s="422"/>
    </row>
    <row r="59" spans="1:2" ht="16.5" thickBot="1">
      <c r="A59" s="412" t="s">
        <v>301</v>
      </c>
      <c r="B59" s="422"/>
    </row>
    <row r="60" spans="1:2" ht="16.5" thickBot="1">
      <c r="A60" s="412" t="s">
        <v>438</v>
      </c>
      <c r="B60" s="422"/>
    </row>
    <row r="61" spans="1:2" ht="16.5" thickBot="1">
      <c r="A61" s="412" t="s">
        <v>439</v>
      </c>
      <c r="B61" s="422"/>
    </row>
    <row r="62" spans="1:2" ht="16.5" thickBot="1">
      <c r="A62" s="412" t="s">
        <v>440</v>
      </c>
      <c r="B62" s="422"/>
    </row>
    <row r="63" spans="1:2" ht="16.5" thickBot="1">
      <c r="A63" s="410" t="s">
        <v>441</v>
      </c>
      <c r="B63" s="423">
        <f>B64/B38</f>
        <v>1</v>
      </c>
    </row>
    <row r="64" spans="1:2" ht="16.5" thickBot="1">
      <c r="A64" s="410" t="s">
        <v>442</v>
      </c>
      <c r="B64" s="424">
        <v>4.7070929999999995</v>
      </c>
    </row>
    <row r="65" spans="1:2" ht="16.5" thickBot="1">
      <c r="A65" s="410" t="s">
        <v>443</v>
      </c>
      <c r="B65" s="423">
        <f>B66/B38</f>
        <v>1</v>
      </c>
    </row>
    <row r="66" spans="1:2" ht="16.5" thickBot="1">
      <c r="A66" s="409" t="s">
        <v>444</v>
      </c>
      <c r="B66" s="425">
        <v>4.7070929999999995</v>
      </c>
    </row>
    <row r="67" spans="1:2" ht="15.75">
      <c r="A67" s="307" t="s">
        <v>445</v>
      </c>
      <c r="B67" s="401"/>
    </row>
    <row r="68" spans="1:2" ht="15.75">
      <c r="A68" s="402" t="s">
        <v>446</v>
      </c>
      <c r="B68" s="402" t="s">
        <v>653</v>
      </c>
    </row>
    <row r="69" spans="1:2" ht="15.75">
      <c r="A69" s="402" t="s">
        <v>447</v>
      </c>
      <c r="B69" s="402" t="s">
        <v>547</v>
      </c>
    </row>
    <row r="70" spans="1:2" ht="15.75">
      <c r="A70" s="402" t="s">
        <v>448</v>
      </c>
      <c r="B70" s="402"/>
    </row>
    <row r="71" spans="1:2" ht="15.75">
      <c r="A71" s="402" t="s">
        <v>449</v>
      </c>
      <c r="B71" s="402" t="s">
        <v>554</v>
      </c>
    </row>
    <row r="72" spans="1:2" ht="16.5" thickBot="1">
      <c r="A72" s="403" t="s">
        <v>450</v>
      </c>
      <c r="B72" s="403"/>
    </row>
    <row r="73" spans="1:2" ht="30.75" thickBot="1">
      <c r="A73" s="401" t="s">
        <v>451</v>
      </c>
      <c r="B73" s="398" t="s">
        <v>452</v>
      </c>
    </row>
    <row r="74" spans="1:2" ht="29.25" thickBot="1">
      <c r="A74" s="405" t="s">
        <v>453</v>
      </c>
      <c r="B74" s="398"/>
    </row>
    <row r="75" spans="1:2" ht="16.5" thickBot="1">
      <c r="A75" s="401" t="s">
        <v>301</v>
      </c>
      <c r="B75" s="400"/>
    </row>
    <row r="76" spans="1:2" ht="16.5" thickBot="1">
      <c r="A76" s="401" t="s">
        <v>454</v>
      </c>
      <c r="B76" s="398">
        <v>1</v>
      </c>
    </row>
    <row r="77" spans="1:2" ht="16.5" thickBot="1">
      <c r="A77" s="401" t="s">
        <v>455</v>
      </c>
      <c r="B77" s="400">
        <v>3</v>
      </c>
    </row>
    <row r="78" spans="1:2" ht="16.5" thickBot="1">
      <c r="A78" s="307" t="s">
        <v>456</v>
      </c>
      <c r="B78" s="401"/>
    </row>
    <row r="79" spans="1:2" ht="16.5" thickBot="1">
      <c r="A79" s="405" t="s">
        <v>457</v>
      </c>
      <c r="B79" s="401"/>
    </row>
    <row r="80" spans="1:2" ht="16.5" thickBot="1">
      <c r="A80" s="402" t="s">
        <v>458</v>
      </c>
      <c r="B80" s="400"/>
    </row>
    <row r="81" spans="1:2" ht="16.5" thickBot="1">
      <c r="A81" s="402" t="s">
        <v>459</v>
      </c>
      <c r="B81" s="400"/>
    </row>
    <row r="82" spans="1:2" ht="16.5" thickBot="1">
      <c r="A82" s="402" t="s">
        <v>460</v>
      </c>
      <c r="B82" s="400"/>
    </row>
    <row r="83" spans="1:3" ht="30.75" thickBot="1">
      <c r="A83" s="307" t="s">
        <v>461</v>
      </c>
      <c r="B83" s="460" t="s">
        <v>598</v>
      </c>
      <c r="C83" s="467"/>
    </row>
    <row r="84" spans="1:2" ht="28.5">
      <c r="A84" s="307" t="s">
        <v>462</v>
      </c>
      <c r="B84" s="1009"/>
    </row>
    <row r="85" spans="1:2" ht="15.75">
      <c r="A85" s="402" t="s">
        <v>463</v>
      </c>
      <c r="B85" s="1010"/>
    </row>
    <row r="86" spans="1:2" ht="15.75">
      <c r="A86" s="402" t="s">
        <v>464</v>
      </c>
      <c r="B86" s="1010"/>
    </row>
    <row r="87" spans="1:2" ht="15.75">
      <c r="A87" s="402" t="s">
        <v>465</v>
      </c>
      <c r="B87" s="1010"/>
    </row>
    <row r="88" spans="1:2" ht="15.75">
      <c r="A88" s="402" t="s">
        <v>466</v>
      </c>
      <c r="B88" s="1010"/>
    </row>
    <row r="89" spans="1:2" ht="16.5" thickBot="1">
      <c r="A89" s="413" t="s">
        <v>467</v>
      </c>
      <c r="B89" s="1011"/>
    </row>
    <row r="91" spans="1:2" ht="15.75">
      <c r="A91" s="308" t="s">
        <v>468</v>
      </c>
      <c r="B91" s="308"/>
    </row>
    <row r="92" ht="15.75">
      <c r="A92" s="301" t="s">
        <v>469</v>
      </c>
    </row>
    <row r="93" ht="15.75">
      <c r="A93" s="301" t="s">
        <v>470</v>
      </c>
    </row>
    <row r="94" ht="15.75">
      <c r="A94" s="301" t="s">
        <v>471</v>
      </c>
    </row>
    <row r="95" ht="15.75">
      <c r="A95" s="301" t="s">
        <v>472</v>
      </c>
    </row>
    <row r="96" ht="15.75">
      <c r="A96" s="301" t="s">
        <v>473</v>
      </c>
    </row>
    <row r="97" ht="15.75">
      <c r="A97" s="301" t="s">
        <v>474</v>
      </c>
    </row>
    <row r="98" spans="1:2" ht="15.75">
      <c r="A98" s="1012" t="s">
        <v>475</v>
      </c>
      <c r="B98" s="1012"/>
    </row>
    <row r="100" spans="1:2" ht="15.75">
      <c r="A100" s="1013" t="str">
        <f>'10 (ГСМ склад с. Средние Пахач)'!A100:B100</f>
        <v>Начальник ПТО                                                                                                         С.А.Апекин</v>
      </c>
      <c r="B100" s="1013"/>
    </row>
    <row r="101" ht="15.75">
      <c r="B101" s="309"/>
    </row>
    <row r="102" ht="15.75">
      <c r="B102" s="310"/>
    </row>
  </sheetData>
  <sheetProtection/>
  <mergeCells count="5">
    <mergeCell ref="A13:B13"/>
    <mergeCell ref="A14:B14"/>
    <mergeCell ref="B84:B89"/>
    <mergeCell ref="A98:B98"/>
    <mergeCell ref="A100:B100"/>
  </mergeCells>
  <printOptions/>
  <pageMargins left="0.7" right="0.23" top="0.75" bottom="0.32" header="0.3" footer="0.3"/>
  <pageSetup fitToHeight="2" fitToWidth="1" horizontalDpi="600" verticalDpi="600" orientation="portrait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61"/>
  <sheetViews>
    <sheetView view="pageBreakPreview" zoomScale="65" zoomScaleNormal="80" zoomScaleSheetLayoutView="65" zoomScalePageLayoutView="0" workbookViewId="0" topLeftCell="A7">
      <selection activeCell="A32" sqref="A32"/>
    </sheetView>
  </sheetViews>
  <sheetFormatPr defaultColWidth="9.00390625" defaultRowHeight="15.75"/>
  <cols>
    <col min="1" max="1" width="13.875" style="108" customWidth="1"/>
    <col min="2" max="2" width="31.75390625" style="311" customWidth="1"/>
    <col min="3" max="6" width="11.75390625" style="311" customWidth="1"/>
    <col min="7" max="8" width="20.00390625" style="311" customWidth="1"/>
    <col min="9" max="9" width="15.625" style="311" customWidth="1"/>
    <col min="10" max="14" width="7.875" style="311" customWidth="1"/>
    <col min="15" max="15" width="9.00390625" style="311" customWidth="1"/>
    <col min="16" max="16" width="9.00390625" style="108" customWidth="1"/>
    <col min="17" max="17" width="15.25390625" style="108" customWidth="1"/>
    <col min="18" max="16384" width="9.00390625" style="108" customWidth="1"/>
  </cols>
  <sheetData>
    <row r="1" spans="1:14" ht="15.75">
      <c r="A1" s="311"/>
      <c r="B1" s="312"/>
      <c r="C1" s="312"/>
      <c r="D1" s="312"/>
      <c r="E1" s="312"/>
      <c r="F1" s="312"/>
      <c r="G1" s="312"/>
      <c r="H1" s="312"/>
      <c r="I1" s="312"/>
      <c r="N1" s="302" t="s">
        <v>486</v>
      </c>
    </row>
    <row r="2" spans="1:14" ht="15.75">
      <c r="A2" s="311"/>
      <c r="B2" s="312"/>
      <c r="C2" s="312"/>
      <c r="D2" s="312"/>
      <c r="E2" s="312"/>
      <c r="F2" s="312"/>
      <c r="G2" s="312"/>
      <c r="H2" s="312"/>
      <c r="I2" s="312"/>
      <c r="N2" s="302" t="s">
        <v>37</v>
      </c>
    </row>
    <row r="3" spans="1:14" ht="15.75">
      <c r="A3" s="311"/>
      <c r="B3" s="312"/>
      <c r="C3" s="312"/>
      <c r="D3" s="312"/>
      <c r="E3" s="312"/>
      <c r="F3" s="312"/>
      <c r="G3" s="312"/>
      <c r="H3" s="312"/>
      <c r="I3" s="312"/>
      <c r="N3" s="289" t="s">
        <v>379</v>
      </c>
    </row>
    <row r="4" spans="1:14" ht="15.75">
      <c r="A4" s="311"/>
      <c r="B4" s="312"/>
      <c r="C4" s="312"/>
      <c r="D4" s="312"/>
      <c r="E4" s="312"/>
      <c r="F4" s="312"/>
      <c r="G4" s="312"/>
      <c r="H4" s="312"/>
      <c r="I4" s="312"/>
      <c r="N4" s="302"/>
    </row>
    <row r="5" spans="13:14" s="303" customFormat="1" ht="15.75">
      <c r="M5" s="301"/>
      <c r="N5" s="109" t="s">
        <v>38</v>
      </c>
    </row>
    <row r="6" spans="13:14" s="303" customFormat="1" ht="15.75">
      <c r="M6" s="301"/>
      <c r="N6" s="109" t="s">
        <v>647</v>
      </c>
    </row>
    <row r="7" spans="13:14" s="303" customFormat="1" ht="15.75">
      <c r="M7" s="301"/>
      <c r="N7" s="109"/>
    </row>
    <row r="8" spans="13:14" s="303" customFormat="1" ht="15.75">
      <c r="M8" s="301"/>
      <c r="N8" s="109" t="s">
        <v>648</v>
      </c>
    </row>
    <row r="9" spans="13:14" s="303" customFormat="1" ht="15.75">
      <c r="M9" s="301"/>
      <c r="N9" s="109" t="s">
        <v>795</v>
      </c>
    </row>
    <row r="10" spans="13:14" s="303" customFormat="1" ht="15.75">
      <c r="M10" s="301"/>
      <c r="N10" s="109" t="s">
        <v>42</v>
      </c>
    </row>
    <row r="11" spans="1:14" ht="33" customHeight="1">
      <c r="A11" s="1015" t="s">
        <v>790</v>
      </c>
      <c r="B11" s="1016"/>
      <c r="C11" s="1016"/>
      <c r="D11" s="1016"/>
      <c r="E11" s="1016"/>
      <c r="F11" s="1016"/>
      <c r="G11" s="1016"/>
      <c r="H11" s="1016"/>
      <c r="I11" s="1016"/>
      <c r="J11" s="1016"/>
      <c r="K11" s="1016"/>
      <c r="L11" s="1016"/>
      <c r="M11" s="1016"/>
      <c r="N11" s="1016"/>
    </row>
    <row r="12" spans="1:14" ht="38.25" customHeight="1">
      <c r="A12" s="1017" t="s">
        <v>658</v>
      </c>
      <c r="B12" s="1017"/>
      <c r="C12" s="1017"/>
      <c r="D12" s="1017"/>
      <c r="E12" s="1017"/>
      <c r="F12" s="1017"/>
      <c r="G12" s="1017"/>
      <c r="H12" s="1017"/>
      <c r="I12" s="1017"/>
      <c r="J12" s="1017"/>
      <c r="K12" s="1017"/>
      <c r="L12" s="1017"/>
      <c r="M12" s="1017"/>
      <c r="N12" s="1017"/>
    </row>
    <row r="13" spans="1:9" ht="15.75" customHeight="1">
      <c r="A13" s="1018" t="s">
        <v>796</v>
      </c>
      <c r="B13" s="1018"/>
      <c r="C13" s="1018"/>
      <c r="D13" s="1018"/>
      <c r="E13" s="1018"/>
      <c r="F13" s="1018"/>
      <c r="G13" s="1018"/>
      <c r="H13" s="1018"/>
      <c r="I13" s="1018"/>
    </row>
    <row r="14" spans="1:9" ht="15.75">
      <c r="A14" s="312"/>
      <c r="B14" s="312"/>
      <c r="C14" s="312"/>
      <c r="D14" s="312"/>
      <c r="E14" s="312"/>
      <c r="F14" s="312"/>
      <c r="G14" s="312"/>
      <c r="H14" s="312"/>
      <c r="I14" s="312"/>
    </row>
    <row r="15" spans="1:9" ht="16.5" customHeight="1" thickBot="1">
      <c r="A15" s="1019" t="s">
        <v>797</v>
      </c>
      <c r="B15" s="1019"/>
      <c r="C15" s="1020"/>
      <c r="D15" s="1020"/>
      <c r="E15" s="1020"/>
      <c r="F15" s="1020"/>
      <c r="G15" s="1020"/>
      <c r="H15" s="1020"/>
      <c r="I15" s="1020"/>
    </row>
    <row r="16" spans="1:14" ht="30.75" customHeight="1">
      <c r="A16" s="1021" t="s">
        <v>487</v>
      </c>
      <c r="B16" s="1023" t="s">
        <v>488</v>
      </c>
      <c r="C16" s="1023" t="s">
        <v>489</v>
      </c>
      <c r="D16" s="1023"/>
      <c r="E16" s="1023"/>
      <c r="F16" s="1023"/>
      <c r="G16" s="1023" t="s">
        <v>490</v>
      </c>
      <c r="H16" s="1023" t="s">
        <v>491</v>
      </c>
      <c r="I16" s="1025" t="s">
        <v>492</v>
      </c>
      <c r="J16" s="1034" t="s">
        <v>493</v>
      </c>
      <c r="K16" s="1035"/>
      <c r="L16" s="1035"/>
      <c r="M16" s="1035"/>
      <c r="N16" s="1036"/>
    </row>
    <row r="17" spans="1:14" ht="15.75">
      <c r="A17" s="1022"/>
      <c r="B17" s="1003"/>
      <c r="C17" s="1003" t="s">
        <v>494</v>
      </c>
      <c r="D17" s="1003"/>
      <c r="E17" s="1003" t="s">
        <v>495</v>
      </c>
      <c r="F17" s="1003"/>
      <c r="G17" s="1003"/>
      <c r="H17" s="1003"/>
      <c r="I17" s="1026"/>
      <c r="J17" s="1037"/>
      <c r="K17" s="1038"/>
      <c r="L17" s="1038"/>
      <c r="M17" s="1038"/>
      <c r="N17" s="1039"/>
    </row>
    <row r="18" spans="1:14" ht="15.75">
      <c r="A18" s="1022"/>
      <c r="B18" s="1003"/>
      <c r="C18" s="1046" t="s">
        <v>496</v>
      </c>
      <c r="D18" s="1046" t="s">
        <v>497</v>
      </c>
      <c r="E18" s="1046" t="s">
        <v>496</v>
      </c>
      <c r="F18" s="1046" t="s">
        <v>497</v>
      </c>
      <c r="G18" s="1003"/>
      <c r="H18" s="1003"/>
      <c r="I18" s="1026"/>
      <c r="J18" s="1040"/>
      <c r="K18" s="1041"/>
      <c r="L18" s="1041"/>
      <c r="M18" s="1041"/>
      <c r="N18" s="1042"/>
    </row>
    <row r="19" spans="1:14" ht="15.75">
      <c r="A19" s="1022"/>
      <c r="B19" s="1024"/>
      <c r="C19" s="1047"/>
      <c r="D19" s="1047"/>
      <c r="E19" s="1047"/>
      <c r="F19" s="1047"/>
      <c r="G19" s="1003"/>
      <c r="H19" s="1003"/>
      <c r="I19" s="1026"/>
      <c r="J19" s="1040"/>
      <c r="K19" s="1041"/>
      <c r="L19" s="1041"/>
      <c r="M19" s="1041"/>
      <c r="N19" s="1042"/>
    </row>
    <row r="20" spans="1:14" ht="15.75">
      <c r="A20" s="1022"/>
      <c r="B20" s="1003"/>
      <c r="C20" s="1048"/>
      <c r="D20" s="1048"/>
      <c r="E20" s="1048"/>
      <c r="F20" s="1048"/>
      <c r="G20" s="1003"/>
      <c r="H20" s="1003"/>
      <c r="I20" s="1026"/>
      <c r="J20" s="1043"/>
      <c r="K20" s="1044"/>
      <c r="L20" s="1044"/>
      <c r="M20" s="1044"/>
      <c r="N20" s="1045"/>
    </row>
    <row r="21" spans="1:14" ht="16.5" thickBot="1">
      <c r="A21" s="313">
        <v>1</v>
      </c>
      <c r="B21" s="314">
        <v>2</v>
      </c>
      <c r="C21" s="314">
        <v>3</v>
      </c>
      <c r="D21" s="314">
        <v>4</v>
      </c>
      <c r="E21" s="314">
        <v>5</v>
      </c>
      <c r="F21" s="314">
        <v>6</v>
      </c>
      <c r="G21" s="314">
        <v>8</v>
      </c>
      <c r="H21" s="314">
        <v>9</v>
      </c>
      <c r="I21" s="314">
        <v>10</v>
      </c>
      <c r="J21" s="1027">
        <v>11</v>
      </c>
      <c r="K21" s="1028"/>
      <c r="L21" s="1028"/>
      <c r="M21" s="1028"/>
      <c r="N21" s="1029"/>
    </row>
    <row r="22" spans="1:14" ht="15.75">
      <c r="A22" s="502" t="s">
        <v>498</v>
      </c>
      <c r="B22" s="508" t="s">
        <v>499</v>
      </c>
      <c r="C22" s="503">
        <v>42005</v>
      </c>
      <c r="D22" s="503">
        <v>42125</v>
      </c>
      <c r="E22" s="455">
        <v>42005</v>
      </c>
      <c r="F22" s="455">
        <v>42036</v>
      </c>
      <c r="G22" s="722">
        <v>100</v>
      </c>
      <c r="H22" s="722">
        <v>100</v>
      </c>
      <c r="I22" s="722"/>
      <c r="J22" s="504"/>
      <c r="K22" s="529"/>
      <c r="L22" s="529"/>
      <c r="M22" s="529"/>
      <c r="N22" s="530"/>
    </row>
    <row r="23" spans="1:14" ht="27.75" customHeight="1">
      <c r="A23" s="502" t="s">
        <v>525</v>
      </c>
      <c r="B23" s="508" t="s">
        <v>526</v>
      </c>
      <c r="C23" s="503">
        <v>42064</v>
      </c>
      <c r="D23" s="503">
        <v>42186</v>
      </c>
      <c r="E23" s="455">
        <v>42036</v>
      </c>
      <c r="F23" s="455">
        <v>42064</v>
      </c>
      <c r="G23" s="722">
        <v>100</v>
      </c>
      <c r="H23" s="722">
        <v>100</v>
      </c>
      <c r="I23" s="722"/>
      <c r="J23" s="504"/>
      <c r="K23" s="529"/>
      <c r="L23" s="529"/>
      <c r="M23" s="529"/>
      <c r="N23" s="530"/>
    </row>
    <row r="24" spans="1:17" ht="25.5">
      <c r="A24" s="502" t="s">
        <v>500</v>
      </c>
      <c r="B24" s="508" t="s">
        <v>501</v>
      </c>
      <c r="C24" s="503">
        <v>42036</v>
      </c>
      <c r="D24" s="503">
        <v>42125</v>
      </c>
      <c r="E24" s="455">
        <v>42064</v>
      </c>
      <c r="F24" s="455">
        <v>42064</v>
      </c>
      <c r="G24" s="722">
        <v>100</v>
      </c>
      <c r="H24" s="722">
        <v>100</v>
      </c>
      <c r="I24" s="722"/>
      <c r="J24" s="1030"/>
      <c r="K24" s="1031"/>
      <c r="L24" s="1031"/>
      <c r="M24" s="1031"/>
      <c r="N24" s="1032"/>
      <c r="P24" s="513"/>
      <c r="Q24" s="513"/>
    </row>
    <row r="25" spans="1:17" ht="15.75">
      <c r="A25" s="502" t="s">
        <v>502</v>
      </c>
      <c r="B25" s="508" t="s">
        <v>503</v>
      </c>
      <c r="C25" s="503">
        <v>42064</v>
      </c>
      <c r="D25" s="503">
        <v>42125</v>
      </c>
      <c r="E25" s="455">
        <v>42095</v>
      </c>
      <c r="F25" s="455">
        <v>42217</v>
      </c>
      <c r="G25" s="722">
        <v>100</v>
      </c>
      <c r="H25" s="722">
        <v>100</v>
      </c>
      <c r="I25" s="722"/>
      <c r="J25" s="504"/>
      <c r="K25" s="529"/>
      <c r="L25" s="529"/>
      <c r="M25" s="529"/>
      <c r="N25" s="530"/>
      <c r="P25" s="515"/>
      <c r="Q25" s="515"/>
    </row>
    <row r="26" spans="1:17" ht="29.25" customHeight="1">
      <c r="A26" s="502" t="s">
        <v>506</v>
      </c>
      <c r="B26" s="508" t="s">
        <v>507</v>
      </c>
      <c r="C26" s="503">
        <v>42125</v>
      </c>
      <c r="D26" s="503">
        <v>42156</v>
      </c>
      <c r="E26" s="455">
        <v>42095</v>
      </c>
      <c r="F26" s="455">
        <v>42125</v>
      </c>
      <c r="G26" s="722">
        <v>100</v>
      </c>
      <c r="H26" s="722">
        <v>100</v>
      </c>
      <c r="I26" s="722"/>
      <c r="J26" s="504"/>
      <c r="K26" s="529"/>
      <c r="L26" s="529"/>
      <c r="M26" s="529"/>
      <c r="N26" s="530"/>
      <c r="P26" s="515"/>
      <c r="Q26" s="514"/>
    </row>
    <row r="27" spans="1:17" ht="25.5">
      <c r="A27" s="502" t="s">
        <v>510</v>
      </c>
      <c r="B27" s="508" t="s">
        <v>511</v>
      </c>
      <c r="C27" s="503">
        <v>42095</v>
      </c>
      <c r="D27" s="503">
        <v>42125</v>
      </c>
      <c r="E27" s="455">
        <v>42095</v>
      </c>
      <c r="F27" s="455">
        <v>42125</v>
      </c>
      <c r="G27" s="722">
        <v>100</v>
      </c>
      <c r="H27" s="722">
        <v>100</v>
      </c>
      <c r="I27" s="722"/>
      <c r="J27" s="504"/>
      <c r="K27" s="529"/>
      <c r="L27" s="529"/>
      <c r="M27" s="529"/>
      <c r="N27" s="530"/>
      <c r="P27" s="515"/>
      <c r="Q27" s="515"/>
    </row>
    <row r="28" spans="1:17" ht="15.75">
      <c r="A28" s="502" t="s">
        <v>512</v>
      </c>
      <c r="B28" s="508" t="s">
        <v>513</v>
      </c>
      <c r="C28" s="503">
        <v>42125</v>
      </c>
      <c r="D28" s="503">
        <v>42186</v>
      </c>
      <c r="E28" s="455">
        <v>42095</v>
      </c>
      <c r="F28" s="455">
        <v>42186</v>
      </c>
      <c r="G28" s="722">
        <v>100</v>
      </c>
      <c r="H28" s="722">
        <v>100</v>
      </c>
      <c r="I28" s="722"/>
      <c r="J28" s="504"/>
      <c r="K28" s="529"/>
      <c r="L28" s="529"/>
      <c r="M28" s="529"/>
      <c r="N28" s="530"/>
      <c r="P28" s="515"/>
      <c r="Q28" s="515"/>
    </row>
    <row r="29" spans="1:17" ht="25.5">
      <c r="A29" s="502" t="s">
        <v>514</v>
      </c>
      <c r="B29" s="508" t="s">
        <v>515</v>
      </c>
      <c r="C29" s="503">
        <v>42156</v>
      </c>
      <c r="D29" s="503">
        <v>43344</v>
      </c>
      <c r="E29" s="455">
        <v>42186</v>
      </c>
      <c r="F29" s="455" t="s">
        <v>630</v>
      </c>
      <c r="G29" s="722">
        <v>50</v>
      </c>
      <c r="H29" s="722">
        <v>50</v>
      </c>
      <c r="I29" s="722"/>
      <c r="J29" s="504"/>
      <c r="K29" s="529"/>
      <c r="L29" s="529"/>
      <c r="M29" s="529"/>
      <c r="N29" s="530"/>
      <c r="P29" s="513"/>
      <c r="Q29" s="513"/>
    </row>
    <row r="30" spans="1:17" ht="30" customHeight="1">
      <c r="A30" s="502" t="s">
        <v>516</v>
      </c>
      <c r="B30" s="508" t="s">
        <v>517</v>
      </c>
      <c r="C30" s="503">
        <v>42156</v>
      </c>
      <c r="D30" s="503">
        <v>43344</v>
      </c>
      <c r="E30" s="455">
        <v>42156</v>
      </c>
      <c r="F30" s="455" t="s">
        <v>630</v>
      </c>
      <c r="G30" s="722">
        <v>50</v>
      </c>
      <c r="H30" s="722">
        <v>50</v>
      </c>
      <c r="I30" s="722"/>
      <c r="J30" s="504"/>
      <c r="K30" s="529"/>
      <c r="L30" s="529"/>
      <c r="M30" s="529"/>
      <c r="N30" s="530"/>
      <c r="P30" s="513"/>
      <c r="Q30" s="513"/>
    </row>
    <row r="31" spans="1:17" ht="27" customHeight="1">
      <c r="A31" s="502" t="s">
        <v>518</v>
      </c>
      <c r="B31" s="508" t="s">
        <v>519</v>
      </c>
      <c r="C31" s="503">
        <v>42217</v>
      </c>
      <c r="D31" s="503">
        <v>43344</v>
      </c>
      <c r="E31" s="455"/>
      <c r="F31" s="455"/>
      <c r="G31" s="722"/>
      <c r="H31" s="722"/>
      <c r="I31" s="722"/>
      <c r="J31" s="504"/>
      <c r="K31" s="529"/>
      <c r="L31" s="529"/>
      <c r="M31" s="529"/>
      <c r="N31" s="530"/>
      <c r="P31" s="513"/>
      <c r="Q31" s="513"/>
    </row>
    <row r="32" spans="1:17" ht="30" customHeight="1">
      <c r="A32" s="502" t="s">
        <v>520</v>
      </c>
      <c r="B32" s="508" t="s">
        <v>521</v>
      </c>
      <c r="C32" s="503">
        <v>42217</v>
      </c>
      <c r="D32" s="503">
        <v>43344</v>
      </c>
      <c r="E32" s="455"/>
      <c r="F32" s="455"/>
      <c r="G32" s="722"/>
      <c r="H32" s="722"/>
      <c r="I32" s="722"/>
      <c r="J32" s="504"/>
      <c r="K32" s="529"/>
      <c r="L32" s="529"/>
      <c r="M32" s="529"/>
      <c r="N32" s="530"/>
      <c r="P32" s="513"/>
      <c r="Q32" s="513"/>
    </row>
    <row r="33" spans="1:17" ht="76.5">
      <c r="A33" s="502" t="s">
        <v>522</v>
      </c>
      <c r="B33" s="523" t="s">
        <v>523</v>
      </c>
      <c r="C33" s="503">
        <v>43344</v>
      </c>
      <c r="D33" s="503">
        <v>43344</v>
      </c>
      <c r="E33" s="455"/>
      <c r="F33" s="455"/>
      <c r="G33" s="722"/>
      <c r="H33" s="722"/>
      <c r="I33" s="722"/>
      <c r="J33" s="504"/>
      <c r="K33" s="529"/>
      <c r="L33" s="529"/>
      <c r="M33" s="529"/>
      <c r="N33" s="530"/>
      <c r="P33" s="517"/>
      <c r="Q33" s="517"/>
    </row>
    <row r="34" ht="15.75">
      <c r="B34" s="321"/>
    </row>
    <row r="35" spans="1:2" ht="15.75">
      <c r="A35" s="108" t="s">
        <v>524</v>
      </c>
      <c r="B35" s="321"/>
    </row>
    <row r="37" spans="3:9" ht="15.75">
      <c r="C37" s="1033" t="str">
        <f>'11.1 (МДЭС-8 с. Тиличики) '!C30:I30</f>
        <v>Начальник ПТО                                                                             С. А. Апекин</v>
      </c>
      <c r="D37" s="1033"/>
      <c r="E37" s="1033"/>
      <c r="F37" s="1033"/>
      <c r="G37" s="1033"/>
      <c r="H37" s="1033"/>
      <c r="I37" s="1033"/>
    </row>
    <row r="39" spans="1:14" ht="15.75">
      <c r="A39" s="483"/>
      <c r="B39" s="483"/>
      <c r="C39" s="483"/>
      <c r="D39" s="483"/>
      <c r="E39" s="483"/>
      <c r="F39" s="483"/>
      <c r="G39" s="483"/>
      <c r="H39" s="483"/>
      <c r="I39" s="483"/>
      <c r="J39" s="483"/>
      <c r="K39" s="483"/>
      <c r="L39" s="483"/>
      <c r="M39" s="483"/>
      <c r="N39" s="483"/>
    </row>
    <row r="40" spans="1:15" ht="15.75">
      <c r="A40" s="427"/>
      <c r="B40" s="427"/>
      <c r="C40" s="427"/>
      <c r="D40" s="427"/>
      <c r="E40" s="427"/>
      <c r="F40" s="427"/>
      <c r="G40" s="427"/>
      <c r="H40" s="427"/>
      <c r="I40" s="427"/>
      <c r="J40" s="427"/>
      <c r="K40" s="427"/>
      <c r="L40" s="427"/>
      <c r="M40" s="427"/>
      <c r="N40" s="427"/>
      <c r="O40" s="427"/>
    </row>
    <row r="41" spans="1:15" ht="15.75">
      <c r="A41" s="427"/>
      <c r="B41" s="427"/>
      <c r="C41" s="427"/>
      <c r="D41" s="427"/>
      <c r="E41" s="427"/>
      <c r="F41" s="427"/>
      <c r="G41" s="427"/>
      <c r="H41" s="427"/>
      <c r="I41" s="427"/>
      <c r="J41" s="427"/>
      <c r="K41" s="427"/>
      <c r="L41" s="427"/>
      <c r="M41" s="427"/>
      <c r="N41" s="427"/>
      <c r="O41" s="427"/>
    </row>
    <row r="42" spans="1:15" ht="15.75">
      <c r="A42" s="427"/>
      <c r="B42" s="427"/>
      <c r="C42" s="427"/>
      <c r="D42" s="427"/>
      <c r="E42" s="427"/>
      <c r="F42" s="427"/>
      <c r="G42" s="427"/>
      <c r="H42" s="427"/>
      <c r="I42" s="427"/>
      <c r="J42" s="427"/>
      <c r="K42" s="427"/>
      <c r="L42" s="427"/>
      <c r="M42" s="427"/>
      <c r="N42" s="427"/>
      <c r="O42" s="427"/>
    </row>
    <row r="43" spans="1:15" ht="15.75">
      <c r="A43" s="427"/>
      <c r="B43" s="427"/>
      <c r="C43" s="427"/>
      <c r="D43" s="427"/>
      <c r="E43" s="427"/>
      <c r="F43" s="427"/>
      <c r="G43" s="427"/>
      <c r="H43" s="427"/>
      <c r="I43" s="427"/>
      <c r="J43" s="427"/>
      <c r="K43" s="427"/>
      <c r="L43" s="427"/>
      <c r="M43" s="427"/>
      <c r="N43" s="427"/>
      <c r="O43" s="427"/>
    </row>
    <row r="44" spans="1:15" ht="15.75">
      <c r="A44" s="427"/>
      <c r="B44" s="427"/>
      <c r="C44" s="427"/>
      <c r="D44" s="427"/>
      <c r="E44" s="427"/>
      <c r="F44" s="427"/>
      <c r="G44" s="427"/>
      <c r="H44" s="427"/>
      <c r="I44" s="427"/>
      <c r="J44" s="427"/>
      <c r="K44" s="427"/>
      <c r="L44" s="427"/>
      <c r="M44" s="427"/>
      <c r="N44" s="427"/>
      <c r="O44" s="427"/>
    </row>
    <row r="45" spans="1:15" ht="15.75">
      <c r="A45" s="427"/>
      <c r="B45" s="427"/>
      <c r="C45" s="427"/>
      <c r="D45" s="427"/>
      <c r="E45" s="427"/>
      <c r="F45" s="427"/>
      <c r="G45" s="427"/>
      <c r="H45" s="427"/>
      <c r="I45" s="427"/>
      <c r="J45" s="427"/>
      <c r="K45" s="427"/>
      <c r="L45" s="427"/>
      <c r="M45" s="427"/>
      <c r="N45" s="427"/>
      <c r="O45" s="427"/>
    </row>
    <row r="46" spans="1:15" ht="15.75">
      <c r="A46" s="427"/>
      <c r="B46" s="427"/>
      <c r="C46" s="427"/>
      <c r="D46" s="427"/>
      <c r="E46" s="427"/>
      <c r="F46" s="427"/>
      <c r="G46" s="427"/>
      <c r="H46" s="427"/>
      <c r="I46" s="427"/>
      <c r="J46" s="427"/>
      <c r="K46" s="427"/>
      <c r="L46" s="427"/>
      <c r="M46" s="427"/>
      <c r="N46" s="427"/>
      <c r="O46" s="427"/>
    </row>
    <row r="47" spans="1:15" ht="15.75">
      <c r="A47" s="427"/>
      <c r="B47" s="427"/>
      <c r="C47" s="427"/>
      <c r="D47" s="427"/>
      <c r="E47" s="427"/>
      <c r="F47" s="427"/>
      <c r="G47" s="427"/>
      <c r="H47" s="427"/>
      <c r="I47" s="427"/>
      <c r="J47" s="427"/>
      <c r="K47" s="427"/>
      <c r="L47" s="427"/>
      <c r="M47" s="427"/>
      <c r="N47" s="427"/>
      <c r="O47" s="427"/>
    </row>
    <row r="48" spans="1:15" ht="15.75">
      <c r="A48" s="427"/>
      <c r="B48" s="427"/>
      <c r="C48" s="427"/>
      <c r="D48" s="427"/>
      <c r="E48" s="427"/>
      <c r="F48" s="427"/>
      <c r="G48" s="427"/>
      <c r="H48" s="427"/>
      <c r="I48" s="427"/>
      <c r="J48" s="427"/>
      <c r="K48" s="427"/>
      <c r="L48" s="427"/>
      <c r="M48" s="427"/>
      <c r="N48" s="427"/>
      <c r="O48" s="427"/>
    </row>
    <row r="49" spans="1:15" ht="15.75">
      <c r="A49" s="427"/>
      <c r="B49" s="427"/>
      <c r="C49" s="427"/>
      <c r="D49" s="427"/>
      <c r="E49" s="427"/>
      <c r="F49" s="427"/>
      <c r="G49" s="427"/>
      <c r="H49" s="427"/>
      <c r="I49" s="427"/>
      <c r="J49" s="427"/>
      <c r="K49" s="427"/>
      <c r="L49" s="427"/>
      <c r="M49" s="427"/>
      <c r="N49" s="427"/>
      <c r="O49" s="427"/>
    </row>
    <row r="50" spans="1:15" ht="15.75">
      <c r="A50" s="427"/>
      <c r="B50" s="427"/>
      <c r="C50" s="427"/>
      <c r="D50" s="427"/>
      <c r="E50" s="427"/>
      <c r="F50" s="427"/>
      <c r="G50" s="427"/>
      <c r="H50" s="427"/>
      <c r="I50" s="427"/>
      <c r="J50" s="427"/>
      <c r="K50" s="427"/>
      <c r="L50" s="427"/>
      <c r="M50" s="427"/>
      <c r="N50" s="427"/>
      <c r="O50" s="427"/>
    </row>
    <row r="51" spans="1:15" ht="15.75">
      <c r="A51" s="427"/>
      <c r="B51" s="427"/>
      <c r="C51" s="427"/>
      <c r="D51" s="427"/>
      <c r="E51" s="427"/>
      <c r="F51" s="427"/>
      <c r="G51" s="427"/>
      <c r="H51" s="427"/>
      <c r="I51" s="427"/>
      <c r="J51" s="427"/>
      <c r="K51" s="427"/>
      <c r="L51" s="427"/>
      <c r="M51" s="427"/>
      <c r="N51" s="427"/>
      <c r="O51" s="427"/>
    </row>
    <row r="52" spans="1:15" ht="15.75">
      <c r="A52" s="427"/>
      <c r="B52" s="427"/>
      <c r="C52" s="427"/>
      <c r="D52" s="427"/>
      <c r="E52" s="427"/>
      <c r="F52" s="427"/>
      <c r="G52" s="427"/>
      <c r="H52" s="427"/>
      <c r="I52" s="427"/>
      <c r="J52" s="427"/>
      <c r="K52" s="427"/>
      <c r="L52" s="427"/>
      <c r="M52" s="427"/>
      <c r="N52" s="427"/>
      <c r="O52" s="427"/>
    </row>
    <row r="53" spans="1:15" ht="15.75">
      <c r="A53" s="427"/>
      <c r="B53" s="427"/>
      <c r="C53" s="427"/>
      <c r="D53" s="427"/>
      <c r="E53" s="427"/>
      <c r="F53" s="427"/>
      <c r="G53" s="427"/>
      <c r="H53" s="427"/>
      <c r="I53" s="427"/>
      <c r="J53" s="427"/>
      <c r="K53" s="427"/>
      <c r="L53" s="427"/>
      <c r="M53" s="427"/>
      <c r="N53" s="427"/>
      <c r="O53" s="427"/>
    </row>
    <row r="54" spans="1:15" ht="15.75">
      <c r="A54" s="427"/>
      <c r="B54" s="427"/>
      <c r="C54" s="427"/>
      <c r="D54" s="427"/>
      <c r="E54" s="427"/>
      <c r="F54" s="427"/>
      <c r="G54" s="427"/>
      <c r="H54" s="427"/>
      <c r="I54" s="427"/>
      <c r="J54" s="427"/>
      <c r="K54" s="427"/>
      <c r="L54" s="427"/>
      <c r="M54" s="427"/>
      <c r="N54" s="427"/>
      <c r="O54" s="427"/>
    </row>
    <row r="55" spans="1:15" ht="15.75">
      <c r="A55" s="427"/>
      <c r="B55" s="427"/>
      <c r="C55" s="427"/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427"/>
      <c r="O55" s="427"/>
    </row>
    <row r="56" spans="1:14" ht="15.75">
      <c r="A56" s="427"/>
      <c r="B56" s="427"/>
      <c r="C56" s="427"/>
      <c r="D56" s="427"/>
      <c r="E56" s="427"/>
      <c r="F56" s="427"/>
      <c r="G56" s="427"/>
      <c r="H56" s="427"/>
      <c r="I56" s="427"/>
      <c r="J56" s="427"/>
      <c r="K56" s="427"/>
      <c r="L56" s="427"/>
      <c r="M56" s="427"/>
      <c r="N56" s="427"/>
    </row>
    <row r="57" spans="1:9" ht="15.75">
      <c r="A57" s="427"/>
      <c r="B57" s="427"/>
      <c r="C57" s="427"/>
      <c r="D57" s="427"/>
      <c r="E57" s="427"/>
      <c r="F57" s="427"/>
      <c r="G57" s="427"/>
      <c r="H57" s="427"/>
      <c r="I57" s="427"/>
    </row>
    <row r="58" spans="1:9" ht="15.75">
      <c r="A58" s="427"/>
      <c r="B58" s="427"/>
      <c r="C58" s="427"/>
      <c r="D58" s="427"/>
      <c r="E58" s="427"/>
      <c r="F58" s="427"/>
      <c r="G58" s="427"/>
      <c r="H58" s="427"/>
      <c r="I58" s="427"/>
    </row>
    <row r="59" spans="1:9" ht="15.75">
      <c r="A59" s="427"/>
      <c r="B59" s="427"/>
      <c r="C59" s="427"/>
      <c r="D59" s="427"/>
      <c r="E59" s="427"/>
      <c r="F59" s="427"/>
      <c r="G59" s="427"/>
      <c r="H59" s="427"/>
      <c r="I59" s="427"/>
    </row>
    <row r="60" spans="1:9" ht="15.75">
      <c r="A60" s="427"/>
      <c r="B60" s="427"/>
      <c r="C60" s="427"/>
      <c r="D60" s="427"/>
      <c r="E60" s="427"/>
      <c r="F60" s="427"/>
      <c r="G60" s="427"/>
      <c r="H60" s="427"/>
      <c r="I60" s="427"/>
    </row>
    <row r="61" spans="1:9" ht="15.75">
      <c r="A61" s="427"/>
      <c r="B61" s="427"/>
      <c r="C61" s="427"/>
      <c r="D61" s="427"/>
      <c r="E61" s="427"/>
      <c r="F61" s="427"/>
      <c r="G61" s="427"/>
      <c r="H61" s="427"/>
      <c r="I61" s="427"/>
    </row>
  </sheetData>
  <sheetProtection/>
  <mergeCells count="20">
    <mergeCell ref="J21:N21"/>
    <mergeCell ref="J24:N24"/>
    <mergeCell ref="C37:I37"/>
    <mergeCell ref="J16:N20"/>
    <mergeCell ref="C17:D17"/>
    <mergeCell ref="E17:F17"/>
    <mergeCell ref="C18:C20"/>
    <mergeCell ref="D18:D20"/>
    <mergeCell ref="E18:E20"/>
    <mergeCell ref="F18:F20"/>
    <mergeCell ref="A11:N11"/>
    <mergeCell ref="A12:N12"/>
    <mergeCell ref="A13:I13"/>
    <mergeCell ref="A15:I15"/>
    <mergeCell ref="A16:A20"/>
    <mergeCell ref="B16:B20"/>
    <mergeCell ref="C16:F16"/>
    <mergeCell ref="G16:G20"/>
    <mergeCell ref="H16:H20"/>
    <mergeCell ref="I16:I20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0"/>
  <sheetViews>
    <sheetView view="pageBreakPreview" zoomScale="74" zoomScaleNormal="70" zoomScaleSheetLayoutView="74" zoomScalePageLayoutView="0" workbookViewId="0" topLeftCell="A1">
      <pane xSplit="2" ySplit="18" topLeftCell="C19" activePane="bottomRight" state="frozen"/>
      <selection pane="topLeft" activeCell="A1" sqref="A1"/>
      <selection pane="topRight" activeCell="C1" sqref="C1"/>
      <selection pane="bottomLeft" activeCell="A19" sqref="A19"/>
      <selection pane="bottomRight" activeCell="E21" sqref="E21"/>
    </sheetView>
  </sheetViews>
  <sheetFormatPr defaultColWidth="9.00390625" defaultRowHeight="15.75"/>
  <cols>
    <col min="1" max="1" width="9.00390625" style="1" customWidth="1"/>
    <col min="2" max="2" width="37.25390625" style="1" bestFit="1" customWidth="1"/>
    <col min="3" max="3" width="13.375" style="1" customWidth="1"/>
    <col min="4" max="5" width="10.875" style="1" customWidth="1"/>
    <col min="6" max="7" width="20.75390625" style="92" customWidth="1"/>
    <col min="8" max="8" width="14.375" style="1" customWidth="1"/>
    <col min="9" max="9" width="12.25390625" style="1" customWidth="1"/>
    <col min="10" max="10" width="6.25390625" style="1" customWidth="1"/>
    <col min="11" max="12" width="14.375" style="1" customWidth="1"/>
    <col min="13" max="13" width="37.50390625" style="1" customWidth="1"/>
    <col min="14" max="16384" width="9.00390625" style="1" customWidth="1"/>
  </cols>
  <sheetData>
    <row r="1" ht="15.75">
      <c r="M1" s="143" t="s">
        <v>132</v>
      </c>
    </row>
    <row r="2" ht="15.75">
      <c r="M2" s="143" t="s">
        <v>37</v>
      </c>
    </row>
    <row r="3" ht="15.75">
      <c r="M3" s="143" t="s">
        <v>50</v>
      </c>
    </row>
    <row r="4" ht="15.75">
      <c r="M4" s="143"/>
    </row>
    <row r="5" ht="15.75">
      <c r="A5" s="13"/>
    </row>
    <row r="6" ht="18.75">
      <c r="M6" s="283" t="s">
        <v>38</v>
      </c>
    </row>
    <row r="7" ht="18.75">
      <c r="M7" s="283" t="s">
        <v>235</v>
      </c>
    </row>
    <row r="8" ht="18.75">
      <c r="M8" s="283"/>
    </row>
    <row r="9" ht="18.75">
      <c r="M9" s="283" t="s">
        <v>368</v>
      </c>
    </row>
    <row r="10" spans="1:13" ht="18.75">
      <c r="A10" s="13"/>
      <c r="M10" s="283" t="s">
        <v>369</v>
      </c>
    </row>
    <row r="11" spans="1:13" ht="18.75">
      <c r="A11" s="13"/>
      <c r="M11" s="283" t="s">
        <v>42</v>
      </c>
    </row>
    <row r="12" spans="1:13" ht="33" customHeight="1">
      <c r="A12" s="932" t="s">
        <v>153</v>
      </c>
      <c r="B12" s="913"/>
      <c r="C12" s="913"/>
      <c r="D12" s="913"/>
      <c r="E12" s="913"/>
      <c r="F12" s="913"/>
      <c r="G12" s="913"/>
      <c r="H12" s="913"/>
      <c r="I12" s="913"/>
      <c r="J12" s="913"/>
      <c r="K12" s="913"/>
      <c r="L12" s="913"/>
      <c r="M12" s="913"/>
    </row>
    <row r="13" spans="1:13" ht="29.25" customHeight="1">
      <c r="A13" s="941" t="s">
        <v>370</v>
      </c>
      <c r="B13" s="941"/>
      <c r="C13" s="941"/>
      <c r="D13" s="941"/>
      <c r="E13" s="941"/>
      <c r="F13" s="941"/>
      <c r="G13" s="941"/>
      <c r="H13" s="941"/>
      <c r="I13" s="941"/>
      <c r="J13" s="941"/>
      <c r="K13" s="941"/>
      <c r="L13" s="941"/>
      <c r="M13" s="941"/>
    </row>
    <row r="14" spans="1:13" ht="15.75">
      <c r="A14" s="13"/>
      <c r="M14" s="2"/>
    </row>
    <row r="15" spans="1:13" ht="41.25" customHeight="1">
      <c r="A15" s="910" t="s">
        <v>251</v>
      </c>
      <c r="B15" s="910" t="s">
        <v>274</v>
      </c>
      <c r="C15" s="910" t="s">
        <v>105</v>
      </c>
      <c r="D15" s="910" t="s">
        <v>372</v>
      </c>
      <c r="E15" s="910"/>
      <c r="F15" s="910" t="s">
        <v>70</v>
      </c>
      <c r="G15" s="910" t="s">
        <v>159</v>
      </c>
      <c r="H15" s="910" t="s">
        <v>106</v>
      </c>
      <c r="I15" s="910" t="s">
        <v>355</v>
      </c>
      <c r="J15" s="910"/>
      <c r="K15" s="910"/>
      <c r="L15" s="910"/>
      <c r="M15" s="910" t="s">
        <v>253</v>
      </c>
    </row>
    <row r="16" spans="1:13" ht="41.25" customHeight="1">
      <c r="A16" s="910"/>
      <c r="B16" s="910"/>
      <c r="C16" s="910"/>
      <c r="D16" s="910"/>
      <c r="E16" s="910"/>
      <c r="F16" s="910"/>
      <c r="G16" s="910"/>
      <c r="H16" s="910"/>
      <c r="I16" s="910" t="s">
        <v>292</v>
      </c>
      <c r="J16" s="910" t="s">
        <v>349</v>
      </c>
      <c r="K16" s="910" t="s">
        <v>347</v>
      </c>
      <c r="L16" s="910"/>
      <c r="M16" s="910"/>
    </row>
    <row r="17" spans="1:13" ht="89.25" customHeight="1">
      <c r="A17" s="910"/>
      <c r="B17" s="910"/>
      <c r="C17" s="910"/>
      <c r="D17" s="12" t="s">
        <v>363</v>
      </c>
      <c r="E17" s="12" t="s">
        <v>364</v>
      </c>
      <c r="F17" s="910"/>
      <c r="G17" s="910"/>
      <c r="H17" s="910"/>
      <c r="I17" s="910"/>
      <c r="J17" s="910"/>
      <c r="K17" s="12" t="s">
        <v>346</v>
      </c>
      <c r="L17" s="12" t="s">
        <v>348</v>
      </c>
      <c r="M17" s="910"/>
    </row>
    <row r="18" spans="1:13" ht="15.75">
      <c r="A18" s="22"/>
      <c r="B18" s="22" t="s">
        <v>275</v>
      </c>
      <c r="C18" s="22"/>
      <c r="D18" s="22"/>
      <c r="E18" s="4"/>
      <c r="F18" s="4"/>
      <c r="G18" s="4"/>
      <c r="H18" s="4"/>
      <c r="I18" s="4"/>
      <c r="J18" s="4"/>
      <c r="K18" s="4"/>
      <c r="L18" s="4"/>
      <c r="M18" s="4"/>
    </row>
    <row r="19" spans="1:13" ht="31.5" customHeight="1">
      <c r="A19" s="22" t="s">
        <v>237</v>
      </c>
      <c r="B19" s="22" t="s">
        <v>354</v>
      </c>
      <c r="C19" s="4"/>
      <c r="D19" s="192"/>
      <c r="E19" s="141"/>
      <c r="F19" s="141"/>
      <c r="G19" s="4"/>
      <c r="H19" s="192"/>
      <c r="I19" s="192"/>
      <c r="J19" s="4"/>
      <c r="K19" s="4"/>
      <c r="L19" s="4"/>
      <c r="M19" s="284"/>
    </row>
    <row r="20" spans="1:13" ht="31.5">
      <c r="A20" s="285" t="s">
        <v>238</v>
      </c>
      <c r="B20" s="22" t="s">
        <v>351</v>
      </c>
      <c r="C20" s="22"/>
      <c r="D20" s="22"/>
      <c r="E20" s="22"/>
      <c r="F20" s="4"/>
      <c r="G20" s="4"/>
      <c r="H20" s="4"/>
      <c r="I20" s="4"/>
      <c r="J20" s="4"/>
      <c r="K20" s="4"/>
      <c r="L20" s="4"/>
      <c r="M20" s="942" t="s">
        <v>373</v>
      </c>
    </row>
    <row r="21" spans="1:13" ht="86.25" customHeight="1">
      <c r="A21" s="4">
        <v>1</v>
      </c>
      <c r="B21" s="3" t="s">
        <v>371</v>
      </c>
      <c r="C21" s="192">
        <v>118.48</v>
      </c>
      <c r="D21" s="192">
        <v>41.7517484696111</v>
      </c>
      <c r="E21" s="192">
        <v>0.6845220000000001</v>
      </c>
      <c r="F21" s="192">
        <f>E21</f>
        <v>0.6845220000000001</v>
      </c>
      <c r="G21" s="192">
        <v>0</v>
      </c>
      <c r="H21" s="192">
        <f>C21-E21</f>
        <v>117.795478</v>
      </c>
      <c r="I21" s="192">
        <f>D21-E21</f>
        <v>41.0672264696111</v>
      </c>
      <c r="J21" s="141">
        <f>I21/D21</f>
        <v>0.9836049500897375</v>
      </c>
      <c r="K21" s="4"/>
      <c r="L21" s="4"/>
      <c r="M21" s="942"/>
    </row>
    <row r="22" spans="1:13" ht="31.5">
      <c r="A22" s="22" t="s">
        <v>239</v>
      </c>
      <c r="B22" s="22" t="s">
        <v>35</v>
      </c>
      <c r="C22" s="22"/>
      <c r="D22" s="3"/>
      <c r="E22" s="3"/>
      <c r="F22" s="4"/>
      <c r="G22" s="4"/>
      <c r="H22" s="4"/>
      <c r="I22" s="4"/>
      <c r="J22" s="4"/>
      <c r="K22" s="4"/>
      <c r="L22" s="4"/>
      <c r="M22" s="4"/>
    </row>
    <row r="23" spans="1:13" ht="31.5">
      <c r="A23" s="22" t="s">
        <v>250</v>
      </c>
      <c r="B23" s="22" t="s">
        <v>352</v>
      </c>
      <c r="C23" s="22"/>
      <c r="D23" s="3"/>
      <c r="E23" s="3"/>
      <c r="F23" s="4"/>
      <c r="G23" s="4"/>
      <c r="H23" s="4"/>
      <c r="I23" s="4"/>
      <c r="J23" s="4"/>
      <c r="K23" s="4"/>
      <c r="L23" s="4"/>
      <c r="M23" s="4"/>
    </row>
    <row r="24" spans="1:13" ht="47.25">
      <c r="A24" s="22" t="s">
        <v>267</v>
      </c>
      <c r="B24" s="22" t="s">
        <v>353</v>
      </c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</row>
    <row r="25" spans="1:13" ht="15.75">
      <c r="A25" s="22" t="s">
        <v>240</v>
      </c>
      <c r="B25" s="22" t="s">
        <v>288</v>
      </c>
      <c r="C25" s="22"/>
      <c r="D25" s="22"/>
      <c r="E25" s="22"/>
      <c r="F25" s="4"/>
      <c r="G25" s="4"/>
      <c r="H25" s="4"/>
      <c r="I25" s="4"/>
      <c r="J25" s="4"/>
      <c r="K25" s="4"/>
      <c r="L25" s="4"/>
      <c r="M25" s="4"/>
    </row>
    <row r="26" spans="1:13" ht="31.5">
      <c r="A26" s="285" t="s">
        <v>241</v>
      </c>
      <c r="B26" s="22" t="s">
        <v>351</v>
      </c>
      <c r="C26" s="22"/>
      <c r="D26" s="22"/>
      <c r="E26" s="22"/>
      <c r="F26" s="4"/>
      <c r="G26" s="4"/>
      <c r="H26" s="4"/>
      <c r="I26" s="4"/>
      <c r="J26" s="4"/>
      <c r="K26" s="4"/>
      <c r="L26" s="4"/>
      <c r="M26" s="4"/>
    </row>
    <row r="27" spans="1:13" ht="15.75">
      <c r="A27" s="285" t="s">
        <v>242</v>
      </c>
      <c r="B27" s="93" t="s">
        <v>43</v>
      </c>
      <c r="C27" s="22"/>
      <c r="D27" s="22"/>
      <c r="E27" s="22"/>
      <c r="F27" s="4"/>
      <c r="G27" s="4"/>
      <c r="H27" s="4"/>
      <c r="I27" s="4"/>
      <c r="J27" s="4"/>
      <c r="K27" s="4"/>
      <c r="L27" s="4"/>
      <c r="M27" s="4"/>
    </row>
    <row r="28" spans="1:13" ht="15.75" customHeight="1">
      <c r="A28" s="943" t="s">
        <v>329</v>
      </c>
      <c r="B28" s="943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</row>
    <row r="29" spans="1:13" ht="31.5">
      <c r="A29" s="22"/>
      <c r="B29" s="22" t="s">
        <v>350</v>
      </c>
      <c r="C29" s="22"/>
      <c r="D29" s="3"/>
      <c r="E29" s="3"/>
      <c r="F29" s="4"/>
      <c r="G29" s="4"/>
      <c r="H29" s="4"/>
      <c r="I29" s="4"/>
      <c r="J29" s="4"/>
      <c r="K29" s="4"/>
      <c r="L29" s="4"/>
      <c r="M29" s="4"/>
    </row>
    <row r="30" spans="1:13" ht="15.75">
      <c r="A30" s="4"/>
      <c r="B30" s="4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5.75">
      <c r="A31" s="47"/>
      <c r="B31" s="48" t="s">
        <v>45</v>
      </c>
      <c r="C31" s="30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ht="15.75" customHeight="1">
      <c r="A32" s="47"/>
      <c r="B32" s="928" t="s">
        <v>46</v>
      </c>
      <c r="C32" s="928"/>
      <c r="D32" s="928"/>
      <c r="E32" s="928"/>
      <c r="F32" s="47"/>
      <c r="G32" s="47"/>
      <c r="H32" s="47"/>
      <c r="I32" s="47"/>
      <c r="J32" s="47"/>
      <c r="K32" s="47"/>
      <c r="L32" s="47"/>
      <c r="M32" s="47"/>
    </row>
    <row r="33" spans="1:13" ht="15.75">
      <c r="A33" s="24"/>
      <c r="B33" s="1" t="s">
        <v>47</v>
      </c>
      <c r="F33" s="24"/>
      <c r="G33" s="24"/>
      <c r="H33" s="24"/>
      <c r="I33" s="24"/>
      <c r="J33" s="24"/>
      <c r="K33" s="24"/>
      <c r="L33" s="24"/>
      <c r="M33" s="24"/>
    </row>
    <row r="34" spans="1:13" ht="15.75">
      <c r="A34" s="24"/>
      <c r="B34" s="909" t="s">
        <v>48</v>
      </c>
      <c r="C34" s="909"/>
      <c r="D34" s="909"/>
      <c r="E34" s="909"/>
      <c r="F34" s="24"/>
      <c r="G34" s="24"/>
      <c r="H34" s="24"/>
      <c r="I34" s="24"/>
      <c r="J34" s="24"/>
      <c r="K34" s="24"/>
      <c r="L34" s="24"/>
      <c r="M34" s="24"/>
    </row>
    <row r="35" spans="1:13" ht="15.75">
      <c r="A35" s="24"/>
      <c r="B35" s="10"/>
      <c r="C35" s="24"/>
      <c r="D35" s="24"/>
      <c r="E35" s="24"/>
      <c r="F35" s="940" t="s">
        <v>375</v>
      </c>
      <c r="G35" s="940"/>
      <c r="H35" s="940"/>
      <c r="I35" s="940"/>
      <c r="J35" s="940"/>
      <c r="K35" s="940"/>
      <c r="L35" s="940"/>
      <c r="M35" s="24"/>
    </row>
    <row r="36" spans="1:13" ht="15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  <row r="37" ht="15.75">
      <c r="A37" s="11"/>
    </row>
    <row r="38" spans="1:3" ht="15.75">
      <c r="A38" s="17"/>
      <c r="C38" s="18"/>
    </row>
    <row r="39" spans="4:13" ht="15.75">
      <c r="D39" s="21"/>
      <c r="F39" s="100"/>
      <c r="G39" s="100"/>
      <c r="H39" s="26"/>
      <c r="I39" s="26"/>
      <c r="J39" s="26"/>
      <c r="K39" s="26"/>
      <c r="L39" s="26"/>
      <c r="M39" s="26"/>
    </row>
    <row r="40" spans="1:4" ht="15.75">
      <c r="A40" s="14"/>
      <c r="D40" s="13"/>
    </row>
  </sheetData>
  <sheetProtection/>
  <mergeCells count="19">
    <mergeCell ref="K16:L16"/>
    <mergeCell ref="I16:I17"/>
    <mergeCell ref="C15:C17"/>
    <mergeCell ref="F15:F17"/>
    <mergeCell ref="G15:G17"/>
    <mergeCell ref="A15:A17"/>
    <mergeCell ref="H15:H17"/>
    <mergeCell ref="J16:J17"/>
    <mergeCell ref="B15:B17"/>
    <mergeCell ref="F35:L35"/>
    <mergeCell ref="A13:M13"/>
    <mergeCell ref="M20:M21"/>
    <mergeCell ref="A12:M12"/>
    <mergeCell ref="B34:E34"/>
    <mergeCell ref="B32:E32"/>
    <mergeCell ref="D15:E16"/>
    <mergeCell ref="A28:B28"/>
    <mergeCell ref="M15:M17"/>
    <mergeCell ref="I15:L15"/>
  </mergeCells>
  <printOptions/>
  <pageMargins left="0.1968503937007874" right="0.1968503937007874" top="0.55" bottom="0.38" header="0.5118110236220472" footer="0.32"/>
  <pageSetup fitToHeight="1" fitToWidth="1" horizontalDpi="600" verticalDpi="600" orientation="landscape" paperSize="9" scale="5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45"/>
  <sheetViews>
    <sheetView view="pageBreakPreview" zoomScale="65" zoomScaleSheetLayoutView="65" zoomScalePageLayoutView="0" workbookViewId="0" topLeftCell="A10">
      <selection activeCell="A26" sqref="A26"/>
    </sheetView>
  </sheetViews>
  <sheetFormatPr defaultColWidth="9.00390625" defaultRowHeight="15.75" outlineLevelRow="1"/>
  <cols>
    <col min="1" max="1" width="13.875" style="108" customWidth="1"/>
    <col min="2" max="2" width="31.75390625" style="311" customWidth="1"/>
    <col min="3" max="6" width="11.75390625" style="311" customWidth="1"/>
    <col min="7" max="8" width="20.00390625" style="311" customWidth="1"/>
    <col min="9" max="9" width="21.375" style="311" customWidth="1"/>
    <col min="10" max="14" width="7.875" style="311" customWidth="1"/>
    <col min="15" max="15" width="9.00390625" style="311" customWidth="1"/>
    <col min="16" max="16" width="11.625" style="108" customWidth="1"/>
    <col min="17" max="16384" width="9.00390625" style="108" customWidth="1"/>
  </cols>
  <sheetData>
    <row r="1" spans="1:14" ht="18" customHeight="1" outlineLevel="1">
      <c r="A1" s="311"/>
      <c r="B1" s="312"/>
      <c r="C1" s="312"/>
      <c r="D1" s="312"/>
      <c r="E1" s="312"/>
      <c r="F1" s="312"/>
      <c r="G1" s="312"/>
      <c r="H1" s="312"/>
      <c r="I1" s="312"/>
      <c r="N1" s="302" t="s">
        <v>486</v>
      </c>
    </row>
    <row r="2" spans="1:14" ht="15.75" outlineLevel="1">
      <c r="A2" s="311"/>
      <c r="B2" s="312"/>
      <c r="C2" s="312"/>
      <c r="D2" s="312"/>
      <c r="E2" s="312"/>
      <c r="F2" s="312"/>
      <c r="G2" s="312"/>
      <c r="H2" s="312"/>
      <c r="I2" s="312"/>
      <c r="N2" s="302" t="s">
        <v>37</v>
      </c>
    </row>
    <row r="3" spans="1:14" ht="15.75" outlineLevel="1">
      <c r="A3" s="311"/>
      <c r="B3" s="312"/>
      <c r="C3" s="312"/>
      <c r="D3" s="312"/>
      <c r="E3" s="312"/>
      <c r="F3" s="312"/>
      <c r="G3" s="312"/>
      <c r="H3" s="312"/>
      <c r="I3" s="312"/>
      <c r="N3" s="289" t="s">
        <v>379</v>
      </c>
    </row>
    <row r="4" spans="1:14" ht="15.75" outlineLevel="1">
      <c r="A4" s="311"/>
      <c r="B4" s="312"/>
      <c r="C4" s="312"/>
      <c r="D4" s="312"/>
      <c r="E4" s="312"/>
      <c r="F4" s="312"/>
      <c r="G4" s="312"/>
      <c r="H4" s="312"/>
      <c r="I4" s="312"/>
      <c r="N4" s="302"/>
    </row>
    <row r="5" spans="13:14" s="303" customFormat="1" ht="15.75" outlineLevel="1">
      <c r="M5" s="301"/>
      <c r="N5" s="109" t="s">
        <v>38</v>
      </c>
    </row>
    <row r="6" spans="13:14" s="303" customFormat="1" ht="15.75" outlineLevel="1">
      <c r="M6" s="301"/>
      <c r="N6" s="109" t="s">
        <v>647</v>
      </c>
    </row>
    <row r="7" spans="13:14" s="303" customFormat="1" ht="15.75" outlineLevel="1">
      <c r="M7" s="301"/>
      <c r="N7" s="109"/>
    </row>
    <row r="8" spans="13:14" s="303" customFormat="1" ht="15.75" outlineLevel="1">
      <c r="M8" s="301"/>
      <c r="N8" s="109" t="s">
        <v>648</v>
      </c>
    </row>
    <row r="9" spans="13:14" s="303" customFormat="1" ht="15.75" outlineLevel="1">
      <c r="M9" s="301"/>
      <c r="N9" s="109" t="s">
        <v>795</v>
      </c>
    </row>
    <row r="10" spans="13:14" s="303" customFormat="1" ht="15.75" outlineLevel="1">
      <c r="M10" s="301"/>
      <c r="N10" s="109" t="s">
        <v>42</v>
      </c>
    </row>
    <row r="11" spans="1:14" ht="33" customHeight="1">
      <c r="A11" s="1015" t="s">
        <v>790</v>
      </c>
      <c r="B11" s="1016"/>
      <c r="C11" s="1016"/>
      <c r="D11" s="1016"/>
      <c r="E11" s="1016"/>
      <c r="F11" s="1016"/>
      <c r="G11" s="1016"/>
      <c r="H11" s="1016"/>
      <c r="I11" s="1016"/>
      <c r="J11" s="1016"/>
      <c r="K11" s="1016"/>
      <c r="L11" s="1016"/>
      <c r="M11" s="1016"/>
      <c r="N11" s="1016"/>
    </row>
    <row r="12" spans="1:14" ht="38.25" customHeight="1">
      <c r="A12" s="1049" t="s">
        <v>659</v>
      </c>
      <c r="B12" s="1049"/>
      <c r="C12" s="1049"/>
      <c r="D12" s="1049"/>
      <c r="E12" s="1049"/>
      <c r="F12" s="1049"/>
      <c r="G12" s="1049"/>
      <c r="H12" s="1049"/>
      <c r="I12" s="1049"/>
      <c r="J12" s="1049"/>
      <c r="K12" s="1049"/>
      <c r="L12" s="1049"/>
      <c r="M12" s="1049"/>
      <c r="N12" s="1049"/>
    </row>
    <row r="13" spans="1:9" ht="15.75" customHeight="1">
      <c r="A13" s="1018" t="s">
        <v>796</v>
      </c>
      <c r="B13" s="1018"/>
      <c r="C13" s="1018"/>
      <c r="D13" s="1018"/>
      <c r="E13" s="1018"/>
      <c r="F13" s="1018"/>
      <c r="G13" s="1018"/>
      <c r="H13" s="1018"/>
      <c r="I13" s="1018"/>
    </row>
    <row r="14" spans="1:9" ht="15.75">
      <c r="A14" s="312"/>
      <c r="B14" s="312"/>
      <c r="C14" s="312"/>
      <c r="D14" s="312"/>
      <c r="E14" s="312"/>
      <c r="F14" s="312"/>
      <c r="G14" s="312"/>
      <c r="H14" s="312"/>
      <c r="I14" s="312"/>
    </row>
    <row r="15" spans="1:9" ht="16.5" customHeight="1" thickBot="1">
      <c r="A15" s="1019" t="s">
        <v>797</v>
      </c>
      <c r="B15" s="1019"/>
      <c r="C15" s="1020"/>
      <c r="D15" s="1020"/>
      <c r="E15" s="1020"/>
      <c r="F15" s="1020"/>
      <c r="G15" s="1020"/>
      <c r="H15" s="1020"/>
      <c r="I15" s="1020"/>
    </row>
    <row r="16" spans="1:14" ht="30.75" customHeight="1">
      <c r="A16" s="1021" t="s">
        <v>487</v>
      </c>
      <c r="B16" s="1023" t="s">
        <v>488</v>
      </c>
      <c r="C16" s="1023" t="s">
        <v>489</v>
      </c>
      <c r="D16" s="1023"/>
      <c r="E16" s="1023"/>
      <c r="F16" s="1023"/>
      <c r="G16" s="1023" t="s">
        <v>490</v>
      </c>
      <c r="H16" s="1023" t="s">
        <v>491</v>
      </c>
      <c r="I16" s="1025" t="s">
        <v>492</v>
      </c>
      <c r="J16" s="1034" t="s">
        <v>493</v>
      </c>
      <c r="K16" s="1035"/>
      <c r="L16" s="1035"/>
      <c r="M16" s="1035"/>
      <c r="N16" s="1036"/>
    </row>
    <row r="17" spans="1:14" ht="15.75">
      <c r="A17" s="1022"/>
      <c r="B17" s="1003"/>
      <c r="C17" s="1003" t="s">
        <v>494</v>
      </c>
      <c r="D17" s="1003"/>
      <c r="E17" s="1003" t="s">
        <v>495</v>
      </c>
      <c r="F17" s="1003"/>
      <c r="G17" s="1003"/>
      <c r="H17" s="1003"/>
      <c r="I17" s="1026"/>
      <c r="J17" s="1037"/>
      <c r="K17" s="1038"/>
      <c r="L17" s="1038"/>
      <c r="M17" s="1038"/>
      <c r="N17" s="1039"/>
    </row>
    <row r="18" spans="1:14" ht="15.75">
      <c r="A18" s="1022"/>
      <c r="B18" s="1003"/>
      <c r="C18" s="1046" t="s">
        <v>496</v>
      </c>
      <c r="D18" s="1046" t="s">
        <v>497</v>
      </c>
      <c r="E18" s="1046" t="s">
        <v>496</v>
      </c>
      <c r="F18" s="1046" t="s">
        <v>497</v>
      </c>
      <c r="G18" s="1003"/>
      <c r="H18" s="1003"/>
      <c r="I18" s="1026"/>
      <c r="J18" s="1040"/>
      <c r="K18" s="1041"/>
      <c r="L18" s="1041"/>
      <c r="M18" s="1041"/>
      <c r="N18" s="1042"/>
    </row>
    <row r="19" spans="1:14" ht="15.75">
      <c r="A19" s="1022"/>
      <c r="B19" s="1024"/>
      <c r="C19" s="1047"/>
      <c r="D19" s="1047"/>
      <c r="E19" s="1047"/>
      <c r="F19" s="1047"/>
      <c r="G19" s="1003"/>
      <c r="H19" s="1003"/>
      <c r="I19" s="1026"/>
      <c r="J19" s="1040"/>
      <c r="K19" s="1041"/>
      <c r="L19" s="1041"/>
      <c r="M19" s="1041"/>
      <c r="N19" s="1042"/>
    </row>
    <row r="20" spans="1:14" ht="15.75">
      <c r="A20" s="1022"/>
      <c r="B20" s="1003"/>
      <c r="C20" s="1048"/>
      <c r="D20" s="1048"/>
      <c r="E20" s="1048"/>
      <c r="F20" s="1048"/>
      <c r="G20" s="1003"/>
      <c r="H20" s="1003"/>
      <c r="I20" s="1026"/>
      <c r="J20" s="1043"/>
      <c r="K20" s="1044"/>
      <c r="L20" s="1044"/>
      <c r="M20" s="1044"/>
      <c r="N20" s="1045"/>
    </row>
    <row r="21" spans="1:14" ht="16.5" thickBot="1">
      <c r="A21" s="313">
        <v>1</v>
      </c>
      <c r="B21" s="314">
        <v>2</v>
      </c>
      <c r="C21" s="314">
        <v>3</v>
      </c>
      <c r="D21" s="314">
        <v>4</v>
      </c>
      <c r="E21" s="314">
        <v>5</v>
      </c>
      <c r="F21" s="314">
        <v>6</v>
      </c>
      <c r="G21" s="314">
        <v>8</v>
      </c>
      <c r="H21" s="314">
        <v>9</v>
      </c>
      <c r="I21" s="314">
        <v>10</v>
      </c>
      <c r="J21" s="1027">
        <v>11</v>
      </c>
      <c r="K21" s="1028"/>
      <c r="L21" s="1028"/>
      <c r="M21" s="1028"/>
      <c r="N21" s="1029"/>
    </row>
    <row r="22" spans="1:14" ht="25.5">
      <c r="A22" s="531" t="s">
        <v>510</v>
      </c>
      <c r="B22" s="317" t="s">
        <v>636</v>
      </c>
      <c r="C22" s="506">
        <v>42370</v>
      </c>
      <c r="D22" s="506">
        <v>42461</v>
      </c>
      <c r="E22" s="503">
        <v>42370</v>
      </c>
      <c r="F22" s="503">
        <v>42430</v>
      </c>
      <c r="G22" s="722">
        <v>100</v>
      </c>
      <c r="H22" s="509"/>
      <c r="I22" s="509"/>
      <c r="J22" s="510"/>
      <c r="K22" s="511"/>
      <c r="L22" s="511"/>
      <c r="M22" s="511"/>
      <c r="N22" s="512"/>
    </row>
    <row r="23" spans="1:17" ht="25.5">
      <c r="A23" s="531" t="s">
        <v>514</v>
      </c>
      <c r="B23" s="317" t="s">
        <v>515</v>
      </c>
      <c r="C23" s="506">
        <v>42522</v>
      </c>
      <c r="D23" s="506">
        <v>42675</v>
      </c>
      <c r="E23" s="506">
        <v>42522</v>
      </c>
      <c r="F23" s="506">
        <v>42614</v>
      </c>
      <c r="G23" s="722">
        <v>100</v>
      </c>
      <c r="H23" s="509"/>
      <c r="I23" s="509"/>
      <c r="J23" s="510"/>
      <c r="K23" s="511"/>
      <c r="L23" s="511"/>
      <c r="M23" s="511"/>
      <c r="N23" s="512"/>
      <c r="P23" s="515"/>
      <c r="Q23" s="515"/>
    </row>
    <row r="24" spans="1:17" ht="29.25" customHeight="1">
      <c r="A24" s="531" t="s">
        <v>516</v>
      </c>
      <c r="B24" s="317" t="s">
        <v>517</v>
      </c>
      <c r="C24" s="506">
        <v>42522</v>
      </c>
      <c r="D24" s="506">
        <v>42675</v>
      </c>
      <c r="E24" s="506">
        <v>42522</v>
      </c>
      <c r="F24" s="506">
        <v>42614</v>
      </c>
      <c r="G24" s="722">
        <v>100</v>
      </c>
      <c r="H24" s="509"/>
      <c r="I24" s="509"/>
      <c r="J24" s="510"/>
      <c r="K24" s="511"/>
      <c r="L24" s="511"/>
      <c r="M24" s="511"/>
      <c r="N24" s="512"/>
      <c r="P24" s="515"/>
      <c r="Q24" s="515"/>
    </row>
    <row r="25" spans="1:17" ht="38.25">
      <c r="A25" s="531" t="s">
        <v>518</v>
      </c>
      <c r="B25" s="317" t="s">
        <v>519</v>
      </c>
      <c r="C25" s="506">
        <v>42675</v>
      </c>
      <c r="D25" s="506">
        <v>42705</v>
      </c>
      <c r="E25" s="506">
        <v>42614</v>
      </c>
      <c r="F25" s="506">
        <v>42614</v>
      </c>
      <c r="G25" s="722">
        <v>100</v>
      </c>
      <c r="H25" s="509"/>
      <c r="I25" s="509"/>
      <c r="J25" s="510"/>
      <c r="K25" s="511"/>
      <c r="L25" s="511"/>
      <c r="M25" s="511"/>
      <c r="N25" s="512"/>
      <c r="P25" s="515"/>
      <c r="Q25" s="515"/>
    </row>
    <row r="26" spans="1:17" ht="76.5">
      <c r="A26" s="531" t="s">
        <v>522</v>
      </c>
      <c r="B26" s="317" t="s">
        <v>523</v>
      </c>
      <c r="C26" s="506">
        <v>42675</v>
      </c>
      <c r="D26" s="506">
        <v>42705</v>
      </c>
      <c r="E26" s="506">
        <v>42614</v>
      </c>
      <c r="F26" s="506">
        <v>42614</v>
      </c>
      <c r="G26" s="722">
        <v>100</v>
      </c>
      <c r="H26" s="509"/>
      <c r="I26" s="509"/>
      <c r="J26" s="510"/>
      <c r="K26" s="511"/>
      <c r="L26" s="511"/>
      <c r="M26" s="511"/>
      <c r="N26" s="512"/>
      <c r="P26" s="315"/>
      <c r="Q26" s="315"/>
    </row>
    <row r="27" ht="15.75">
      <c r="B27" s="321"/>
    </row>
    <row r="28" spans="1:2" ht="15.75">
      <c r="A28" s="108" t="s">
        <v>524</v>
      </c>
      <c r="B28" s="321"/>
    </row>
    <row r="30" spans="3:9" ht="15.75">
      <c r="C30" s="1033" t="str">
        <f>'11.1 (ДЭС-5 с.УХ)'!C37:I37</f>
        <v>Начальник ПТО                                                                             С. А. Апекин</v>
      </c>
      <c r="D30" s="1033"/>
      <c r="E30" s="1033"/>
      <c r="F30" s="1033"/>
      <c r="G30" s="1033"/>
      <c r="H30" s="1033"/>
      <c r="I30" s="1033"/>
    </row>
    <row r="33" ht="15.75">
      <c r="C33" s="454"/>
    </row>
    <row r="34" spans="1:14" ht="15.75">
      <c r="A34" s="427"/>
      <c r="B34" s="427"/>
      <c r="C34" s="427"/>
      <c r="D34" s="427"/>
      <c r="E34" s="427"/>
      <c r="F34" s="427"/>
      <c r="G34" s="427"/>
      <c r="H34" s="427"/>
      <c r="I34" s="427"/>
      <c r="J34" s="427"/>
      <c r="K34" s="427"/>
      <c r="L34" s="427"/>
      <c r="M34" s="427"/>
      <c r="N34" s="427"/>
    </row>
    <row r="35" spans="1:14" ht="15.75">
      <c r="A35" s="427"/>
      <c r="B35" s="427"/>
      <c r="C35" s="427"/>
      <c r="D35" s="427"/>
      <c r="E35" s="427"/>
      <c r="F35" s="427"/>
      <c r="G35" s="427"/>
      <c r="H35" s="427"/>
      <c r="I35" s="427"/>
      <c r="J35" s="427"/>
      <c r="K35" s="427"/>
      <c r="L35" s="427"/>
      <c r="M35" s="427"/>
      <c r="N35" s="427"/>
    </row>
    <row r="36" spans="1:14" ht="15.75">
      <c r="A36" s="427"/>
      <c r="B36" s="427"/>
      <c r="C36" s="427"/>
      <c r="D36" s="427"/>
      <c r="E36" s="427"/>
      <c r="F36" s="427"/>
      <c r="G36" s="427"/>
      <c r="H36" s="427"/>
      <c r="I36" s="427"/>
      <c r="J36" s="427"/>
      <c r="K36" s="427"/>
      <c r="L36" s="427"/>
      <c r="M36" s="427"/>
      <c r="N36" s="427"/>
    </row>
    <row r="37" spans="1:14" ht="15.75">
      <c r="A37" s="427"/>
      <c r="B37" s="427"/>
      <c r="C37" s="427"/>
      <c r="D37" s="427"/>
      <c r="E37" s="427"/>
      <c r="F37" s="427"/>
      <c r="G37" s="427"/>
      <c r="H37" s="427"/>
      <c r="I37" s="427"/>
      <c r="J37" s="427"/>
      <c r="K37" s="427"/>
      <c r="L37" s="427"/>
      <c r="M37" s="427"/>
      <c r="N37" s="427"/>
    </row>
    <row r="38" spans="1:14" ht="15.75">
      <c r="A38" s="427"/>
      <c r="B38" s="427"/>
      <c r="C38" s="427"/>
      <c r="D38" s="427"/>
      <c r="E38" s="427"/>
      <c r="F38" s="427"/>
      <c r="G38" s="427"/>
      <c r="H38" s="427"/>
      <c r="I38" s="427"/>
      <c r="J38" s="427"/>
      <c r="K38" s="427"/>
      <c r="L38" s="427"/>
      <c r="M38" s="427"/>
      <c r="N38" s="427"/>
    </row>
    <row r="39" spans="1:14" ht="15.75">
      <c r="A39" s="427"/>
      <c r="B39" s="427"/>
      <c r="C39" s="427"/>
      <c r="D39" s="427"/>
      <c r="E39" s="427"/>
      <c r="F39" s="427"/>
      <c r="G39" s="427"/>
      <c r="H39" s="427"/>
      <c r="I39" s="427"/>
      <c r="J39" s="427"/>
      <c r="K39" s="427"/>
      <c r="L39" s="427"/>
      <c r="M39" s="427"/>
      <c r="N39" s="427"/>
    </row>
    <row r="40" spans="1:14" ht="15.75">
      <c r="A40" s="427"/>
      <c r="B40" s="427"/>
      <c r="C40" s="427"/>
      <c r="D40" s="427"/>
      <c r="E40" s="427"/>
      <c r="F40" s="427"/>
      <c r="G40" s="427"/>
      <c r="H40" s="427"/>
      <c r="I40" s="427"/>
      <c r="J40" s="427"/>
      <c r="K40" s="427"/>
      <c r="L40" s="427"/>
      <c r="M40" s="427"/>
      <c r="N40" s="427"/>
    </row>
    <row r="41" spans="1:14" ht="15.75">
      <c r="A41" s="427"/>
      <c r="B41" s="427"/>
      <c r="C41" s="427"/>
      <c r="D41" s="427"/>
      <c r="E41" s="427"/>
      <c r="F41" s="427"/>
      <c r="G41" s="427"/>
      <c r="H41" s="427"/>
      <c r="I41" s="427"/>
      <c r="J41" s="427"/>
      <c r="K41" s="427"/>
      <c r="L41" s="427"/>
      <c r="M41" s="427"/>
      <c r="N41" s="427"/>
    </row>
    <row r="42" spans="1:14" ht="15.75">
      <c r="A42" s="427"/>
      <c r="B42" s="427"/>
      <c r="C42" s="427"/>
      <c r="D42" s="427"/>
      <c r="E42" s="427"/>
      <c r="F42" s="427"/>
      <c r="G42" s="427"/>
      <c r="H42" s="427"/>
      <c r="I42" s="427"/>
      <c r="J42" s="427"/>
      <c r="K42" s="427"/>
      <c r="L42" s="427"/>
      <c r="M42" s="427"/>
      <c r="N42" s="427"/>
    </row>
    <row r="43" spans="1:14" ht="15.75">
      <c r="A43" s="427"/>
      <c r="B43" s="427"/>
      <c r="C43" s="427"/>
      <c r="D43" s="427"/>
      <c r="E43" s="427"/>
      <c r="F43" s="427"/>
      <c r="G43" s="427"/>
      <c r="H43" s="427"/>
      <c r="I43" s="427"/>
      <c r="J43" s="427"/>
      <c r="K43" s="427"/>
      <c r="L43" s="427"/>
      <c r="M43" s="427"/>
      <c r="N43" s="427"/>
    </row>
    <row r="44" spans="1:14" ht="15.75">
      <c r="A44" s="427"/>
      <c r="B44" s="427"/>
      <c r="C44" s="427"/>
      <c r="D44" s="427"/>
      <c r="E44" s="427"/>
      <c r="F44" s="427"/>
      <c r="G44" s="427"/>
      <c r="H44" s="427"/>
      <c r="I44" s="427"/>
      <c r="J44" s="427"/>
      <c r="K44" s="427"/>
      <c r="L44" s="427"/>
      <c r="M44" s="427"/>
      <c r="N44" s="427"/>
    </row>
    <row r="45" spans="1:9" ht="15.75">
      <c r="A45" s="427"/>
      <c r="B45" s="427"/>
      <c r="C45" s="427"/>
      <c r="D45" s="427"/>
      <c r="E45" s="427"/>
      <c r="F45" s="427"/>
      <c r="G45" s="427"/>
      <c r="H45" s="427"/>
      <c r="I45" s="427"/>
    </row>
  </sheetData>
  <sheetProtection/>
  <mergeCells count="19">
    <mergeCell ref="J21:N21"/>
    <mergeCell ref="C30:I30"/>
    <mergeCell ref="J16:N20"/>
    <mergeCell ref="C17:D17"/>
    <mergeCell ref="E17:F17"/>
    <mergeCell ref="C18:C20"/>
    <mergeCell ref="D18:D20"/>
    <mergeCell ref="E18:E20"/>
    <mergeCell ref="F18:F20"/>
    <mergeCell ref="A11:N11"/>
    <mergeCell ref="A12:N12"/>
    <mergeCell ref="A13:I13"/>
    <mergeCell ref="A15:I15"/>
    <mergeCell ref="A16:A20"/>
    <mergeCell ref="B16:B20"/>
    <mergeCell ref="C16:F16"/>
    <mergeCell ref="G16:G20"/>
    <mergeCell ref="H16:H20"/>
    <mergeCell ref="I16:I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45"/>
  <sheetViews>
    <sheetView view="pageBreakPreview" zoomScale="65" zoomScaleSheetLayoutView="65" zoomScalePageLayoutView="0" workbookViewId="0" topLeftCell="A1">
      <selection activeCell="A26" sqref="A26"/>
    </sheetView>
  </sheetViews>
  <sheetFormatPr defaultColWidth="9.00390625" defaultRowHeight="15.75" outlineLevelRow="1"/>
  <cols>
    <col min="1" max="1" width="13.875" style="108" customWidth="1"/>
    <col min="2" max="2" width="31.75390625" style="311" customWidth="1"/>
    <col min="3" max="6" width="11.75390625" style="311" customWidth="1"/>
    <col min="7" max="8" width="20.00390625" style="311" customWidth="1"/>
    <col min="9" max="9" width="21.375" style="311" customWidth="1"/>
    <col min="10" max="14" width="7.875" style="311" customWidth="1"/>
    <col min="15" max="15" width="9.00390625" style="311" customWidth="1"/>
    <col min="16" max="16" width="11.625" style="108" customWidth="1"/>
    <col min="17" max="16384" width="9.00390625" style="108" customWidth="1"/>
  </cols>
  <sheetData>
    <row r="1" spans="1:14" ht="18" customHeight="1" outlineLevel="1">
      <c r="A1" s="311"/>
      <c r="B1" s="312"/>
      <c r="C1" s="312"/>
      <c r="D1" s="312"/>
      <c r="E1" s="312"/>
      <c r="F1" s="312"/>
      <c r="G1" s="312"/>
      <c r="H1" s="312"/>
      <c r="I1" s="312"/>
      <c r="N1" s="302" t="s">
        <v>486</v>
      </c>
    </row>
    <row r="2" spans="1:14" ht="15.75" outlineLevel="1">
      <c r="A2" s="311"/>
      <c r="B2" s="312"/>
      <c r="C2" s="312"/>
      <c r="D2" s="312"/>
      <c r="E2" s="312"/>
      <c r="F2" s="312"/>
      <c r="G2" s="312"/>
      <c r="H2" s="312"/>
      <c r="I2" s="312"/>
      <c r="N2" s="302" t="s">
        <v>37</v>
      </c>
    </row>
    <row r="3" spans="1:14" ht="15.75" outlineLevel="1">
      <c r="A3" s="311"/>
      <c r="B3" s="312"/>
      <c r="C3" s="312"/>
      <c r="D3" s="312"/>
      <c r="E3" s="312"/>
      <c r="F3" s="312"/>
      <c r="G3" s="312"/>
      <c r="H3" s="312"/>
      <c r="I3" s="312"/>
      <c r="N3" s="289" t="s">
        <v>379</v>
      </c>
    </row>
    <row r="4" spans="1:14" ht="15.75" outlineLevel="1">
      <c r="A4" s="311"/>
      <c r="B4" s="312"/>
      <c r="C4" s="312"/>
      <c r="D4" s="312"/>
      <c r="E4" s="312"/>
      <c r="F4" s="312"/>
      <c r="G4" s="312"/>
      <c r="H4" s="312"/>
      <c r="I4" s="312"/>
      <c r="N4" s="302"/>
    </row>
    <row r="5" spans="13:14" s="303" customFormat="1" ht="15.75" outlineLevel="1">
      <c r="M5" s="301"/>
      <c r="N5" s="109" t="s">
        <v>38</v>
      </c>
    </row>
    <row r="6" spans="13:14" s="303" customFormat="1" ht="15.75" outlineLevel="1">
      <c r="M6" s="301"/>
      <c r="N6" s="109" t="s">
        <v>647</v>
      </c>
    </row>
    <row r="7" spans="13:14" s="303" customFormat="1" ht="15.75" outlineLevel="1">
      <c r="M7" s="301"/>
      <c r="N7" s="109"/>
    </row>
    <row r="8" spans="13:14" s="303" customFormat="1" ht="15.75" outlineLevel="1">
      <c r="M8" s="301"/>
      <c r="N8" s="109" t="s">
        <v>648</v>
      </c>
    </row>
    <row r="9" spans="13:14" s="303" customFormat="1" ht="15.75" outlineLevel="1">
      <c r="M9" s="301"/>
      <c r="N9" s="109" t="s">
        <v>795</v>
      </c>
    </row>
    <row r="10" spans="13:14" s="303" customFormat="1" ht="15.75" outlineLevel="1">
      <c r="M10" s="301"/>
      <c r="N10" s="109" t="s">
        <v>42</v>
      </c>
    </row>
    <row r="11" spans="1:14" ht="33" customHeight="1">
      <c r="A11" s="1015" t="s">
        <v>790</v>
      </c>
      <c r="B11" s="1016"/>
      <c r="C11" s="1016"/>
      <c r="D11" s="1016"/>
      <c r="E11" s="1016"/>
      <c r="F11" s="1016"/>
      <c r="G11" s="1016"/>
      <c r="H11" s="1016"/>
      <c r="I11" s="1016"/>
      <c r="J11" s="1016"/>
      <c r="K11" s="1016"/>
      <c r="L11" s="1016"/>
      <c r="M11" s="1016"/>
      <c r="N11" s="1016"/>
    </row>
    <row r="12" spans="1:14" ht="38.25" customHeight="1">
      <c r="A12" s="1050" t="s">
        <v>758</v>
      </c>
      <c r="B12" s="1050"/>
      <c r="C12" s="1050"/>
      <c r="D12" s="1050"/>
      <c r="E12" s="1050"/>
      <c r="F12" s="1050"/>
      <c r="G12" s="1050"/>
      <c r="H12" s="1050"/>
      <c r="I12" s="1050"/>
      <c r="J12" s="1050"/>
      <c r="K12" s="1050"/>
      <c r="L12" s="1050"/>
      <c r="M12" s="1050"/>
      <c r="N12" s="1050"/>
    </row>
    <row r="13" spans="1:9" ht="15.75" customHeight="1">
      <c r="A13" s="1018" t="s">
        <v>796</v>
      </c>
      <c r="B13" s="1018"/>
      <c r="C13" s="1018"/>
      <c r="D13" s="1018"/>
      <c r="E13" s="1018"/>
      <c r="F13" s="1018"/>
      <c r="G13" s="1018"/>
      <c r="H13" s="1018"/>
      <c r="I13" s="1018"/>
    </row>
    <row r="14" spans="1:9" ht="15.75">
      <c r="A14" s="312"/>
      <c r="B14" s="312"/>
      <c r="C14" s="312"/>
      <c r="D14" s="312"/>
      <c r="E14" s="312"/>
      <c r="F14" s="312"/>
      <c r="G14" s="312"/>
      <c r="H14" s="312"/>
      <c r="I14" s="312"/>
    </row>
    <row r="15" spans="1:9" ht="16.5" customHeight="1" thickBot="1">
      <c r="A15" s="1019" t="s">
        <v>797</v>
      </c>
      <c r="B15" s="1019"/>
      <c r="C15" s="1020"/>
      <c r="D15" s="1020"/>
      <c r="E15" s="1020"/>
      <c r="F15" s="1020"/>
      <c r="G15" s="1020"/>
      <c r="H15" s="1020"/>
      <c r="I15" s="1020"/>
    </row>
    <row r="16" spans="1:14" ht="30.75" customHeight="1">
      <c r="A16" s="1021" t="s">
        <v>487</v>
      </c>
      <c r="B16" s="1023" t="s">
        <v>488</v>
      </c>
      <c r="C16" s="1023" t="s">
        <v>489</v>
      </c>
      <c r="D16" s="1023"/>
      <c r="E16" s="1023"/>
      <c r="F16" s="1023"/>
      <c r="G16" s="1023" t="s">
        <v>490</v>
      </c>
      <c r="H16" s="1023" t="s">
        <v>491</v>
      </c>
      <c r="I16" s="1025" t="s">
        <v>492</v>
      </c>
      <c r="J16" s="1034" t="s">
        <v>493</v>
      </c>
      <c r="K16" s="1035"/>
      <c r="L16" s="1035"/>
      <c r="M16" s="1035"/>
      <c r="N16" s="1036"/>
    </row>
    <row r="17" spans="1:14" ht="15.75">
      <c r="A17" s="1022"/>
      <c r="B17" s="1003"/>
      <c r="C17" s="1003" t="s">
        <v>494</v>
      </c>
      <c r="D17" s="1003"/>
      <c r="E17" s="1003" t="s">
        <v>495</v>
      </c>
      <c r="F17" s="1003"/>
      <c r="G17" s="1003"/>
      <c r="H17" s="1003"/>
      <c r="I17" s="1026"/>
      <c r="J17" s="1037"/>
      <c r="K17" s="1038"/>
      <c r="L17" s="1038"/>
      <c r="M17" s="1038"/>
      <c r="N17" s="1039"/>
    </row>
    <row r="18" spans="1:14" ht="15.75">
      <c r="A18" s="1022"/>
      <c r="B18" s="1003"/>
      <c r="C18" s="1046" t="s">
        <v>496</v>
      </c>
      <c r="D18" s="1046" t="s">
        <v>497</v>
      </c>
      <c r="E18" s="1046" t="s">
        <v>496</v>
      </c>
      <c r="F18" s="1046" t="s">
        <v>497</v>
      </c>
      <c r="G18" s="1003"/>
      <c r="H18" s="1003"/>
      <c r="I18" s="1026"/>
      <c r="J18" s="1040"/>
      <c r="K18" s="1041"/>
      <c r="L18" s="1041"/>
      <c r="M18" s="1041"/>
      <c r="N18" s="1042"/>
    </row>
    <row r="19" spans="1:14" ht="15.75">
      <c r="A19" s="1022"/>
      <c r="B19" s="1024"/>
      <c r="C19" s="1047"/>
      <c r="D19" s="1047"/>
      <c r="E19" s="1047"/>
      <c r="F19" s="1047"/>
      <c r="G19" s="1003"/>
      <c r="H19" s="1003"/>
      <c r="I19" s="1026"/>
      <c r="J19" s="1040"/>
      <c r="K19" s="1041"/>
      <c r="L19" s="1041"/>
      <c r="M19" s="1041"/>
      <c r="N19" s="1042"/>
    </row>
    <row r="20" spans="1:14" ht="15.75">
      <c r="A20" s="1022"/>
      <c r="B20" s="1003"/>
      <c r="C20" s="1048"/>
      <c r="D20" s="1048"/>
      <c r="E20" s="1048"/>
      <c r="F20" s="1048"/>
      <c r="G20" s="1003"/>
      <c r="H20" s="1003"/>
      <c r="I20" s="1026"/>
      <c r="J20" s="1043"/>
      <c r="K20" s="1044"/>
      <c r="L20" s="1044"/>
      <c r="M20" s="1044"/>
      <c r="N20" s="1045"/>
    </row>
    <row r="21" spans="1:14" ht="16.5" thickBot="1">
      <c r="A21" s="313">
        <v>1</v>
      </c>
      <c r="B21" s="314">
        <v>2</v>
      </c>
      <c r="C21" s="314">
        <v>3</v>
      </c>
      <c r="D21" s="314">
        <v>4</v>
      </c>
      <c r="E21" s="314">
        <v>5</v>
      </c>
      <c r="F21" s="314">
        <v>6</v>
      </c>
      <c r="G21" s="314">
        <v>8</v>
      </c>
      <c r="H21" s="314">
        <v>9</v>
      </c>
      <c r="I21" s="314">
        <v>10</v>
      </c>
      <c r="J21" s="1027">
        <v>11</v>
      </c>
      <c r="K21" s="1028"/>
      <c r="L21" s="1028"/>
      <c r="M21" s="1028"/>
      <c r="N21" s="1029"/>
    </row>
    <row r="22" spans="1:14" ht="25.5">
      <c r="A22" s="531" t="s">
        <v>510</v>
      </c>
      <c r="B22" s="317" t="s">
        <v>636</v>
      </c>
      <c r="C22" s="506">
        <v>42614</v>
      </c>
      <c r="D22" s="506">
        <v>42614</v>
      </c>
      <c r="E22" s="506">
        <v>42614</v>
      </c>
      <c r="F22" s="506">
        <v>42614</v>
      </c>
      <c r="G22" s="906">
        <v>100</v>
      </c>
      <c r="H22" s="509"/>
      <c r="I22" s="509"/>
      <c r="J22" s="510"/>
      <c r="K22" s="511"/>
      <c r="L22" s="511"/>
      <c r="M22" s="511"/>
      <c r="N22" s="512"/>
    </row>
    <row r="23" spans="1:17" ht="25.5">
      <c r="A23" s="531" t="s">
        <v>514</v>
      </c>
      <c r="B23" s="317" t="s">
        <v>515</v>
      </c>
      <c r="C23" s="506">
        <v>42826</v>
      </c>
      <c r="D23" s="506">
        <v>42856</v>
      </c>
      <c r="E23" s="506"/>
      <c r="F23" s="506"/>
      <c r="G23" s="906"/>
      <c r="H23" s="509"/>
      <c r="I23" s="509"/>
      <c r="J23" s="510"/>
      <c r="K23" s="511"/>
      <c r="L23" s="511"/>
      <c r="M23" s="511"/>
      <c r="N23" s="512"/>
      <c r="P23" s="515"/>
      <c r="Q23" s="515"/>
    </row>
    <row r="24" spans="1:17" ht="29.25" customHeight="1">
      <c r="A24" s="531" t="s">
        <v>516</v>
      </c>
      <c r="B24" s="317" t="s">
        <v>517</v>
      </c>
      <c r="C24" s="506">
        <v>42826</v>
      </c>
      <c r="D24" s="506">
        <v>42856</v>
      </c>
      <c r="E24" s="506"/>
      <c r="F24" s="506"/>
      <c r="G24" s="906"/>
      <c r="H24" s="509"/>
      <c r="I24" s="509"/>
      <c r="J24" s="510"/>
      <c r="K24" s="511"/>
      <c r="L24" s="511"/>
      <c r="M24" s="511"/>
      <c r="N24" s="512"/>
      <c r="P24" s="515"/>
      <c r="Q24" s="515"/>
    </row>
    <row r="25" spans="1:17" ht="38.25">
      <c r="A25" s="531" t="s">
        <v>518</v>
      </c>
      <c r="B25" s="317" t="s">
        <v>519</v>
      </c>
      <c r="C25" s="506">
        <v>42887</v>
      </c>
      <c r="D25" s="506">
        <v>42887</v>
      </c>
      <c r="E25" s="506"/>
      <c r="F25" s="506"/>
      <c r="G25" s="906"/>
      <c r="H25" s="509"/>
      <c r="I25" s="509"/>
      <c r="J25" s="510"/>
      <c r="K25" s="511"/>
      <c r="L25" s="511"/>
      <c r="M25" s="511"/>
      <c r="N25" s="512"/>
      <c r="P25" s="515"/>
      <c r="Q25" s="515"/>
    </row>
    <row r="26" spans="1:17" ht="76.5">
      <c r="A26" s="531" t="s">
        <v>522</v>
      </c>
      <c r="B26" s="317" t="s">
        <v>523</v>
      </c>
      <c r="C26" s="506">
        <v>42887</v>
      </c>
      <c r="D26" s="506">
        <v>42887</v>
      </c>
      <c r="E26" s="506"/>
      <c r="F26" s="506"/>
      <c r="G26" s="906"/>
      <c r="H26" s="509"/>
      <c r="I26" s="509"/>
      <c r="J26" s="510"/>
      <c r="K26" s="511"/>
      <c r="L26" s="511"/>
      <c r="M26" s="511"/>
      <c r="N26" s="512"/>
      <c r="P26" s="315"/>
      <c r="Q26" s="315"/>
    </row>
    <row r="27" ht="15.75">
      <c r="B27" s="321"/>
    </row>
    <row r="28" spans="1:2" ht="15.75">
      <c r="A28" s="108" t="s">
        <v>524</v>
      </c>
      <c r="B28" s="321"/>
    </row>
    <row r="30" spans="3:9" ht="15.75">
      <c r="C30" s="1033" t="s">
        <v>757</v>
      </c>
      <c r="D30" s="1033"/>
      <c r="E30" s="1033"/>
      <c r="F30" s="1033"/>
      <c r="G30" s="1033"/>
      <c r="H30" s="1033"/>
      <c r="I30" s="1033"/>
    </row>
    <row r="33" ht="15.75">
      <c r="C33" s="454"/>
    </row>
    <row r="34" spans="1:14" ht="15.75">
      <c r="A34" s="427"/>
      <c r="B34" s="427"/>
      <c r="C34" s="427"/>
      <c r="D34" s="427"/>
      <c r="E34" s="427"/>
      <c r="F34" s="427"/>
      <c r="G34" s="427"/>
      <c r="H34" s="427"/>
      <c r="I34" s="427"/>
      <c r="J34" s="427"/>
      <c r="K34" s="427"/>
      <c r="L34" s="427"/>
      <c r="M34" s="427"/>
      <c r="N34" s="427"/>
    </row>
    <row r="35" spans="1:14" ht="15.75">
      <c r="A35" s="427"/>
      <c r="B35" s="427"/>
      <c r="C35" s="427"/>
      <c r="D35" s="427"/>
      <c r="E35" s="427"/>
      <c r="F35" s="427"/>
      <c r="G35" s="427"/>
      <c r="H35" s="427"/>
      <c r="I35" s="427"/>
      <c r="J35" s="427"/>
      <c r="K35" s="427"/>
      <c r="L35" s="427"/>
      <c r="M35" s="427"/>
      <c r="N35" s="427"/>
    </row>
    <row r="36" spans="1:14" ht="15.75">
      <c r="A36" s="427"/>
      <c r="B36" s="427"/>
      <c r="C36" s="427"/>
      <c r="D36" s="427"/>
      <c r="E36" s="427"/>
      <c r="F36" s="427"/>
      <c r="G36" s="427"/>
      <c r="H36" s="427"/>
      <c r="I36" s="427"/>
      <c r="J36" s="427"/>
      <c r="K36" s="427"/>
      <c r="L36" s="427"/>
      <c r="M36" s="427"/>
      <c r="N36" s="427"/>
    </row>
    <row r="37" spans="1:14" ht="15.75">
      <c r="A37" s="427"/>
      <c r="B37" s="427"/>
      <c r="C37" s="427"/>
      <c r="D37" s="427"/>
      <c r="E37" s="427"/>
      <c r="F37" s="427"/>
      <c r="G37" s="427"/>
      <c r="H37" s="427"/>
      <c r="I37" s="427"/>
      <c r="J37" s="427"/>
      <c r="K37" s="427"/>
      <c r="L37" s="427"/>
      <c r="M37" s="427"/>
      <c r="N37" s="427"/>
    </row>
    <row r="38" spans="1:14" ht="15.75">
      <c r="A38" s="427"/>
      <c r="B38" s="427"/>
      <c r="C38" s="427"/>
      <c r="D38" s="427"/>
      <c r="E38" s="427"/>
      <c r="F38" s="427"/>
      <c r="G38" s="427"/>
      <c r="H38" s="427"/>
      <c r="I38" s="427"/>
      <c r="J38" s="427"/>
      <c r="K38" s="427"/>
      <c r="L38" s="427"/>
      <c r="M38" s="427"/>
      <c r="N38" s="427"/>
    </row>
    <row r="39" spans="1:14" ht="15.75">
      <c r="A39" s="427"/>
      <c r="B39" s="427"/>
      <c r="C39" s="427"/>
      <c r="D39" s="427"/>
      <c r="E39" s="427"/>
      <c r="F39" s="427"/>
      <c r="G39" s="427"/>
      <c r="H39" s="427"/>
      <c r="I39" s="427"/>
      <c r="J39" s="427"/>
      <c r="K39" s="427"/>
      <c r="L39" s="427"/>
      <c r="M39" s="427"/>
      <c r="N39" s="427"/>
    </row>
    <row r="40" spans="1:14" ht="15.75">
      <c r="A40" s="427"/>
      <c r="B40" s="427"/>
      <c r="C40" s="427"/>
      <c r="D40" s="427"/>
      <c r="E40" s="427"/>
      <c r="F40" s="427"/>
      <c r="G40" s="427"/>
      <c r="H40" s="427"/>
      <c r="I40" s="427"/>
      <c r="J40" s="427"/>
      <c r="K40" s="427"/>
      <c r="L40" s="427"/>
      <c r="M40" s="427"/>
      <c r="N40" s="427"/>
    </row>
    <row r="41" spans="1:14" ht="15.75">
      <c r="A41" s="427"/>
      <c r="B41" s="427"/>
      <c r="C41" s="427"/>
      <c r="D41" s="427"/>
      <c r="E41" s="427"/>
      <c r="F41" s="427"/>
      <c r="G41" s="427"/>
      <c r="H41" s="427"/>
      <c r="I41" s="427"/>
      <c r="J41" s="427"/>
      <c r="K41" s="427"/>
      <c r="L41" s="427"/>
      <c r="M41" s="427"/>
      <c r="N41" s="427"/>
    </row>
    <row r="42" spans="1:14" ht="15.75">
      <c r="A42" s="427"/>
      <c r="B42" s="427"/>
      <c r="C42" s="427"/>
      <c r="D42" s="427"/>
      <c r="E42" s="427"/>
      <c r="F42" s="427"/>
      <c r="G42" s="427"/>
      <c r="H42" s="427"/>
      <c r="I42" s="427"/>
      <c r="J42" s="427"/>
      <c r="K42" s="427"/>
      <c r="L42" s="427"/>
      <c r="M42" s="427"/>
      <c r="N42" s="427"/>
    </row>
    <row r="43" spans="1:14" ht="15.75">
      <c r="A43" s="427"/>
      <c r="B43" s="427"/>
      <c r="C43" s="427"/>
      <c r="D43" s="427"/>
      <c r="E43" s="427"/>
      <c r="F43" s="427"/>
      <c r="G43" s="427"/>
      <c r="H43" s="427"/>
      <c r="I43" s="427"/>
      <c r="J43" s="427"/>
      <c r="K43" s="427"/>
      <c r="L43" s="427"/>
      <c r="M43" s="427"/>
      <c r="N43" s="427"/>
    </row>
    <row r="44" spans="1:14" ht="15.75">
      <c r="A44" s="427"/>
      <c r="B44" s="427"/>
      <c r="C44" s="427"/>
      <c r="D44" s="427"/>
      <c r="E44" s="427"/>
      <c r="F44" s="427"/>
      <c r="G44" s="427"/>
      <c r="H44" s="427"/>
      <c r="I44" s="427"/>
      <c r="J44" s="427"/>
      <c r="K44" s="427"/>
      <c r="L44" s="427"/>
      <c r="M44" s="427"/>
      <c r="N44" s="427"/>
    </row>
    <row r="45" spans="1:9" ht="15.75">
      <c r="A45" s="427"/>
      <c r="B45" s="427"/>
      <c r="C45" s="427"/>
      <c r="D45" s="427"/>
      <c r="E45" s="427"/>
      <c r="F45" s="427"/>
      <c r="G45" s="427"/>
      <c r="H45" s="427"/>
      <c r="I45" s="427"/>
    </row>
  </sheetData>
  <sheetProtection/>
  <mergeCells count="19">
    <mergeCell ref="A11:N11"/>
    <mergeCell ref="A12:N12"/>
    <mergeCell ref="A13:I13"/>
    <mergeCell ref="A15:I15"/>
    <mergeCell ref="A16:A20"/>
    <mergeCell ref="B16:B20"/>
    <mergeCell ref="C16:F16"/>
    <mergeCell ref="G16:G20"/>
    <mergeCell ref="H16:H20"/>
    <mergeCell ref="I16:I20"/>
    <mergeCell ref="J21:N21"/>
    <mergeCell ref="C30:I30"/>
    <mergeCell ref="J16:N20"/>
    <mergeCell ref="C17:D17"/>
    <mergeCell ref="E17:F17"/>
    <mergeCell ref="C18:C20"/>
    <mergeCell ref="D18:D20"/>
    <mergeCell ref="E18:E20"/>
    <mergeCell ref="F18:F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46"/>
  <sheetViews>
    <sheetView view="pageBreakPreview" zoomScale="65" zoomScaleNormal="80" zoomScaleSheetLayoutView="65" zoomScalePageLayoutView="0" workbookViewId="0" topLeftCell="A10">
      <selection activeCell="A27" sqref="A27"/>
    </sheetView>
  </sheetViews>
  <sheetFormatPr defaultColWidth="9.00390625" defaultRowHeight="15.75" outlineLevelRow="1"/>
  <cols>
    <col min="1" max="1" width="13.875" style="108" customWidth="1"/>
    <col min="2" max="2" width="31.75390625" style="311" customWidth="1"/>
    <col min="3" max="6" width="11.75390625" style="311" customWidth="1"/>
    <col min="7" max="8" width="20.00390625" style="311" customWidth="1"/>
    <col min="9" max="9" width="21.375" style="311" customWidth="1"/>
    <col min="10" max="14" width="7.875" style="311" customWidth="1"/>
    <col min="15" max="15" width="9.00390625" style="311" customWidth="1"/>
    <col min="16" max="16" width="11.625" style="108" customWidth="1"/>
    <col min="17" max="16384" width="9.00390625" style="108" customWidth="1"/>
  </cols>
  <sheetData>
    <row r="1" spans="1:14" ht="18" customHeight="1" outlineLevel="1">
      <c r="A1" s="311"/>
      <c r="B1" s="312"/>
      <c r="C1" s="312"/>
      <c r="D1" s="312"/>
      <c r="E1" s="312"/>
      <c r="F1" s="312"/>
      <c r="G1" s="312"/>
      <c r="H1" s="312"/>
      <c r="I1" s="312"/>
      <c r="N1" s="302" t="s">
        <v>486</v>
      </c>
    </row>
    <row r="2" spans="1:14" ht="15.75" outlineLevel="1">
      <c r="A2" s="311"/>
      <c r="B2" s="312"/>
      <c r="C2" s="312"/>
      <c r="D2" s="312"/>
      <c r="E2" s="312"/>
      <c r="F2" s="312"/>
      <c r="G2" s="312"/>
      <c r="H2" s="312"/>
      <c r="I2" s="312"/>
      <c r="N2" s="302" t="s">
        <v>37</v>
      </c>
    </row>
    <row r="3" spans="1:14" ht="15.75" outlineLevel="1">
      <c r="A3" s="311"/>
      <c r="B3" s="312"/>
      <c r="C3" s="312"/>
      <c r="D3" s="312"/>
      <c r="E3" s="312"/>
      <c r="F3" s="312"/>
      <c r="G3" s="312"/>
      <c r="H3" s="312"/>
      <c r="I3" s="312"/>
      <c r="N3" s="289" t="s">
        <v>379</v>
      </c>
    </row>
    <row r="4" spans="1:14" ht="15.75" outlineLevel="1">
      <c r="A4" s="311"/>
      <c r="B4" s="312"/>
      <c r="C4" s="312"/>
      <c r="D4" s="312"/>
      <c r="E4" s="312"/>
      <c r="F4" s="312"/>
      <c r="G4" s="312"/>
      <c r="H4" s="312"/>
      <c r="I4" s="312"/>
      <c r="N4" s="302"/>
    </row>
    <row r="5" spans="13:14" s="303" customFormat="1" ht="15.75" outlineLevel="1">
      <c r="M5" s="301"/>
      <c r="N5" s="109" t="s">
        <v>38</v>
      </c>
    </row>
    <row r="6" spans="13:14" s="303" customFormat="1" ht="15.75" outlineLevel="1">
      <c r="M6" s="301"/>
      <c r="N6" s="109" t="s">
        <v>647</v>
      </c>
    </row>
    <row r="7" spans="13:14" s="303" customFormat="1" ht="15.75" outlineLevel="1">
      <c r="M7" s="301"/>
      <c r="N7" s="109"/>
    </row>
    <row r="8" spans="13:14" s="303" customFormat="1" ht="15.75" outlineLevel="1">
      <c r="M8" s="301"/>
      <c r="N8" s="109" t="s">
        <v>648</v>
      </c>
    </row>
    <row r="9" spans="13:14" s="303" customFormat="1" ht="15.75" outlineLevel="1">
      <c r="M9" s="301"/>
      <c r="N9" s="109" t="s">
        <v>795</v>
      </c>
    </row>
    <row r="10" spans="13:14" s="303" customFormat="1" ht="15.75" outlineLevel="1">
      <c r="M10" s="301"/>
      <c r="N10" s="109" t="s">
        <v>42</v>
      </c>
    </row>
    <row r="11" spans="1:14" ht="33" customHeight="1">
      <c r="A11" s="1015" t="s">
        <v>790</v>
      </c>
      <c r="B11" s="1016"/>
      <c r="C11" s="1016"/>
      <c r="D11" s="1016"/>
      <c r="E11" s="1016"/>
      <c r="F11" s="1016"/>
      <c r="G11" s="1016"/>
      <c r="H11" s="1016"/>
      <c r="I11" s="1016"/>
      <c r="J11" s="1016"/>
      <c r="K11" s="1016"/>
      <c r="L11" s="1016"/>
      <c r="M11" s="1016"/>
      <c r="N11" s="1016"/>
    </row>
    <row r="12" spans="1:14" ht="38.25" customHeight="1">
      <c r="A12" s="1049" t="s">
        <v>661</v>
      </c>
      <c r="B12" s="1049"/>
      <c r="C12" s="1049"/>
      <c r="D12" s="1049"/>
      <c r="E12" s="1049"/>
      <c r="F12" s="1049"/>
      <c r="G12" s="1049"/>
      <c r="H12" s="1049"/>
      <c r="I12" s="1049"/>
      <c r="J12" s="1049"/>
      <c r="K12" s="1049"/>
      <c r="L12" s="1049"/>
      <c r="M12" s="1049"/>
      <c r="N12" s="1049"/>
    </row>
    <row r="13" spans="1:9" ht="15.75" customHeight="1">
      <c r="A13" s="1018" t="s">
        <v>796</v>
      </c>
      <c r="B13" s="1018"/>
      <c r="C13" s="1018"/>
      <c r="D13" s="1018"/>
      <c r="E13" s="1018"/>
      <c r="F13" s="1018"/>
      <c r="G13" s="1018"/>
      <c r="H13" s="1018"/>
      <c r="I13" s="1018"/>
    </row>
    <row r="14" spans="1:9" ht="15.75">
      <c r="A14" s="312"/>
      <c r="B14" s="312"/>
      <c r="C14" s="312"/>
      <c r="D14" s="312"/>
      <c r="E14" s="312"/>
      <c r="F14" s="312"/>
      <c r="G14" s="312"/>
      <c r="H14" s="312"/>
      <c r="I14" s="312"/>
    </row>
    <row r="15" spans="1:9" ht="16.5" customHeight="1" thickBot="1">
      <c r="A15" s="1019" t="s">
        <v>797</v>
      </c>
      <c r="B15" s="1019"/>
      <c r="C15" s="1020"/>
      <c r="D15" s="1020"/>
      <c r="E15" s="1020"/>
      <c r="F15" s="1020"/>
      <c r="G15" s="1020"/>
      <c r="H15" s="1020"/>
      <c r="I15" s="1020"/>
    </row>
    <row r="16" spans="1:14" ht="30.75" customHeight="1">
      <c r="A16" s="1021" t="s">
        <v>487</v>
      </c>
      <c r="B16" s="1023" t="s">
        <v>488</v>
      </c>
      <c r="C16" s="1023" t="s">
        <v>489</v>
      </c>
      <c r="D16" s="1023"/>
      <c r="E16" s="1023"/>
      <c r="F16" s="1023"/>
      <c r="G16" s="1023" t="s">
        <v>490</v>
      </c>
      <c r="H16" s="1023" t="s">
        <v>491</v>
      </c>
      <c r="I16" s="1025" t="s">
        <v>492</v>
      </c>
      <c r="J16" s="1034" t="s">
        <v>493</v>
      </c>
      <c r="K16" s="1035"/>
      <c r="L16" s="1035"/>
      <c r="M16" s="1035"/>
      <c r="N16" s="1036"/>
    </row>
    <row r="17" spans="1:14" ht="15.75">
      <c r="A17" s="1022"/>
      <c r="B17" s="1003"/>
      <c r="C17" s="1003" t="s">
        <v>494</v>
      </c>
      <c r="D17" s="1003"/>
      <c r="E17" s="1003" t="s">
        <v>495</v>
      </c>
      <c r="F17" s="1003"/>
      <c r="G17" s="1003"/>
      <c r="H17" s="1003"/>
      <c r="I17" s="1026"/>
      <c r="J17" s="1037"/>
      <c r="K17" s="1038"/>
      <c r="L17" s="1038"/>
      <c r="M17" s="1038"/>
      <c r="N17" s="1039"/>
    </row>
    <row r="18" spans="1:14" ht="15.75">
      <c r="A18" s="1022"/>
      <c r="B18" s="1003"/>
      <c r="C18" s="1046" t="s">
        <v>496</v>
      </c>
      <c r="D18" s="1046" t="s">
        <v>497</v>
      </c>
      <c r="E18" s="1046" t="s">
        <v>496</v>
      </c>
      <c r="F18" s="1046" t="s">
        <v>497</v>
      </c>
      <c r="G18" s="1003"/>
      <c r="H18" s="1003"/>
      <c r="I18" s="1026"/>
      <c r="J18" s="1040"/>
      <c r="K18" s="1041"/>
      <c r="L18" s="1041"/>
      <c r="M18" s="1041"/>
      <c r="N18" s="1042"/>
    </row>
    <row r="19" spans="1:14" ht="15.75">
      <c r="A19" s="1022"/>
      <c r="B19" s="1024"/>
      <c r="C19" s="1047"/>
      <c r="D19" s="1047"/>
      <c r="E19" s="1047"/>
      <c r="F19" s="1047"/>
      <c r="G19" s="1003"/>
      <c r="H19" s="1003"/>
      <c r="I19" s="1026"/>
      <c r="J19" s="1040"/>
      <c r="K19" s="1041"/>
      <c r="L19" s="1041"/>
      <c r="M19" s="1041"/>
      <c r="N19" s="1042"/>
    </row>
    <row r="20" spans="1:14" ht="15.75">
      <c r="A20" s="1022"/>
      <c r="B20" s="1003"/>
      <c r="C20" s="1048"/>
      <c r="D20" s="1048"/>
      <c r="E20" s="1048"/>
      <c r="F20" s="1048"/>
      <c r="G20" s="1003"/>
      <c r="H20" s="1003"/>
      <c r="I20" s="1026"/>
      <c r="J20" s="1043"/>
      <c r="K20" s="1044"/>
      <c r="L20" s="1044"/>
      <c r="M20" s="1044"/>
      <c r="N20" s="1045"/>
    </row>
    <row r="21" spans="1:14" ht="16.5" thickBot="1">
      <c r="A21" s="313">
        <v>1</v>
      </c>
      <c r="B21" s="314">
        <v>2</v>
      </c>
      <c r="C21" s="314">
        <v>3</v>
      </c>
      <c r="D21" s="314">
        <v>4</v>
      </c>
      <c r="E21" s="314">
        <v>5</v>
      </c>
      <c r="F21" s="314">
        <v>6</v>
      </c>
      <c r="G21" s="314">
        <v>8</v>
      </c>
      <c r="H21" s="314">
        <v>9</v>
      </c>
      <c r="I21" s="314">
        <v>10</v>
      </c>
      <c r="J21" s="1027">
        <v>11</v>
      </c>
      <c r="K21" s="1028"/>
      <c r="L21" s="1028"/>
      <c r="M21" s="1028"/>
      <c r="N21" s="1029"/>
    </row>
    <row r="22" spans="1:14" ht="25.5">
      <c r="A22" s="531" t="s">
        <v>510</v>
      </c>
      <c r="B22" s="317" t="s">
        <v>636</v>
      </c>
      <c r="C22" s="503">
        <v>42005</v>
      </c>
      <c r="D22" s="503">
        <v>42095</v>
      </c>
      <c r="E22" s="455">
        <v>42005</v>
      </c>
      <c r="F22" s="455">
        <v>42036</v>
      </c>
      <c r="G22" s="722">
        <v>100</v>
      </c>
      <c r="H22" s="509">
        <v>100</v>
      </c>
      <c r="I22" s="509"/>
      <c r="J22" s="510"/>
      <c r="K22" s="511"/>
      <c r="L22" s="511"/>
      <c r="M22" s="511"/>
      <c r="N22" s="512"/>
    </row>
    <row r="23" spans="1:17" ht="15.75">
      <c r="A23" s="531" t="s">
        <v>512</v>
      </c>
      <c r="B23" s="317" t="s">
        <v>513</v>
      </c>
      <c r="C23" s="503">
        <v>42248</v>
      </c>
      <c r="D23" s="503">
        <v>42339</v>
      </c>
      <c r="E23" s="455">
        <v>42125</v>
      </c>
      <c r="F23" s="455">
        <v>42217</v>
      </c>
      <c r="G23" s="722">
        <v>100</v>
      </c>
      <c r="H23" s="509">
        <v>100</v>
      </c>
      <c r="I23" s="509"/>
      <c r="J23" s="510"/>
      <c r="K23" s="511"/>
      <c r="L23" s="511"/>
      <c r="M23" s="511"/>
      <c r="N23" s="512"/>
      <c r="P23" s="532"/>
      <c r="Q23" s="513"/>
    </row>
    <row r="24" spans="1:17" ht="25.5">
      <c r="A24" s="531" t="s">
        <v>514</v>
      </c>
      <c r="B24" s="317" t="s">
        <v>515</v>
      </c>
      <c r="C24" s="503">
        <v>42370</v>
      </c>
      <c r="D24" s="503">
        <v>42430</v>
      </c>
      <c r="E24" s="455">
        <v>42125</v>
      </c>
      <c r="F24" s="503">
        <v>42339</v>
      </c>
      <c r="G24" s="722">
        <v>100</v>
      </c>
      <c r="H24" s="509">
        <v>100</v>
      </c>
      <c r="I24" s="509"/>
      <c r="J24" s="510"/>
      <c r="K24" s="511"/>
      <c r="L24" s="511"/>
      <c r="M24" s="511"/>
      <c r="N24" s="512"/>
      <c r="P24" s="515"/>
      <c r="Q24" s="515"/>
    </row>
    <row r="25" spans="1:17" ht="29.25" customHeight="1">
      <c r="A25" s="531" t="s">
        <v>516</v>
      </c>
      <c r="B25" s="317" t="s">
        <v>517</v>
      </c>
      <c r="C25" s="503">
        <v>42430</v>
      </c>
      <c r="D25" s="503">
        <v>42461</v>
      </c>
      <c r="E25" s="503">
        <v>42339</v>
      </c>
      <c r="F25" s="503">
        <v>42370</v>
      </c>
      <c r="G25" s="722">
        <v>100</v>
      </c>
      <c r="H25" s="509">
        <v>100</v>
      </c>
      <c r="I25" s="509"/>
      <c r="J25" s="510"/>
      <c r="K25" s="511"/>
      <c r="L25" s="511"/>
      <c r="M25" s="511"/>
      <c r="N25" s="512"/>
      <c r="P25" s="515"/>
      <c r="Q25" s="515"/>
    </row>
    <row r="26" spans="1:17" ht="38.25">
      <c r="A26" s="531" t="s">
        <v>518</v>
      </c>
      <c r="B26" s="317" t="s">
        <v>519</v>
      </c>
      <c r="C26" s="503">
        <v>42430</v>
      </c>
      <c r="D26" s="503">
        <v>42461</v>
      </c>
      <c r="E26" s="503">
        <v>42370</v>
      </c>
      <c r="F26" s="503">
        <v>42370</v>
      </c>
      <c r="G26" s="722">
        <v>100</v>
      </c>
      <c r="H26" s="509">
        <v>100</v>
      </c>
      <c r="I26" s="509"/>
      <c r="J26" s="510"/>
      <c r="K26" s="511"/>
      <c r="L26" s="511"/>
      <c r="M26" s="511"/>
      <c r="N26" s="512"/>
      <c r="P26" s="515"/>
      <c r="Q26" s="515"/>
    </row>
    <row r="27" spans="1:17" ht="76.5">
      <c r="A27" s="531" t="s">
        <v>522</v>
      </c>
      <c r="B27" s="317" t="s">
        <v>523</v>
      </c>
      <c r="C27" s="503">
        <v>42461</v>
      </c>
      <c r="D27" s="503">
        <v>42461</v>
      </c>
      <c r="E27" s="503">
        <v>42370</v>
      </c>
      <c r="F27" s="503">
        <v>42370</v>
      </c>
      <c r="G27" s="722">
        <v>100</v>
      </c>
      <c r="H27" s="509">
        <v>100</v>
      </c>
      <c r="I27" s="509"/>
      <c r="J27" s="510"/>
      <c r="K27" s="511"/>
      <c r="L27" s="511"/>
      <c r="M27" s="511"/>
      <c r="N27" s="512"/>
      <c r="P27" s="315"/>
      <c r="Q27" s="315"/>
    </row>
    <row r="28" ht="15.75">
      <c r="B28" s="321"/>
    </row>
    <row r="29" spans="1:2" ht="15.75">
      <c r="A29" s="108" t="s">
        <v>524</v>
      </c>
      <c r="B29" s="321"/>
    </row>
    <row r="31" spans="3:9" ht="15.75">
      <c r="C31" s="1033" t="str">
        <f>'11.1. (ТП-2 Хаилино)'!C29:I29</f>
        <v>Начальник ПТО                                                                             С. А. Апекин</v>
      </c>
      <c r="D31" s="1033"/>
      <c r="E31" s="1033"/>
      <c r="F31" s="1033"/>
      <c r="G31" s="1033"/>
      <c r="H31" s="1033"/>
      <c r="I31" s="1033"/>
    </row>
    <row r="34" spans="1:14" ht="15.75">
      <c r="A34" s="427"/>
      <c r="B34" s="427"/>
      <c r="C34" s="427"/>
      <c r="D34" s="427"/>
      <c r="E34" s="427"/>
      <c r="F34" s="427"/>
      <c r="G34" s="427"/>
      <c r="H34" s="427"/>
      <c r="I34" s="427"/>
      <c r="J34" s="427"/>
      <c r="K34" s="427"/>
      <c r="L34" s="427"/>
      <c r="M34" s="427"/>
      <c r="N34" s="427"/>
    </row>
    <row r="35" spans="1:14" ht="15.75">
      <c r="A35" s="427"/>
      <c r="B35" s="427"/>
      <c r="C35" s="427"/>
      <c r="D35" s="427"/>
      <c r="E35" s="427"/>
      <c r="F35" s="427"/>
      <c r="G35" s="427"/>
      <c r="H35" s="427"/>
      <c r="I35" s="427"/>
      <c r="J35" s="427"/>
      <c r="K35" s="427"/>
      <c r="L35" s="427"/>
      <c r="M35" s="427"/>
      <c r="N35" s="427"/>
    </row>
    <row r="36" spans="1:14" ht="15.75">
      <c r="A36" s="427"/>
      <c r="B36" s="427"/>
      <c r="C36" s="427"/>
      <c r="D36" s="427"/>
      <c r="E36" s="427"/>
      <c r="F36" s="427"/>
      <c r="G36" s="427"/>
      <c r="H36" s="427"/>
      <c r="I36" s="427"/>
      <c r="J36" s="427"/>
      <c r="K36" s="427"/>
      <c r="L36" s="427"/>
      <c r="M36" s="427"/>
      <c r="N36" s="427"/>
    </row>
    <row r="37" spans="1:14" ht="15.75">
      <c r="A37" s="427"/>
      <c r="B37" s="427"/>
      <c r="C37" s="427"/>
      <c r="D37" s="427"/>
      <c r="E37" s="427"/>
      <c r="F37" s="427"/>
      <c r="G37" s="427"/>
      <c r="H37" s="427"/>
      <c r="I37" s="427"/>
      <c r="J37" s="427"/>
      <c r="K37" s="427"/>
      <c r="L37" s="427"/>
      <c r="M37" s="427"/>
      <c r="N37" s="427"/>
    </row>
    <row r="38" spans="1:14" ht="15.75">
      <c r="A38" s="427"/>
      <c r="B38" s="427"/>
      <c r="C38" s="427"/>
      <c r="D38" s="427"/>
      <c r="E38" s="427"/>
      <c r="F38" s="427"/>
      <c r="G38" s="427"/>
      <c r="H38" s="427"/>
      <c r="I38" s="427"/>
      <c r="J38" s="427"/>
      <c r="K38" s="427"/>
      <c r="L38" s="427"/>
      <c r="M38" s="427"/>
      <c r="N38" s="427"/>
    </row>
    <row r="39" spans="1:14" ht="15.75">
      <c r="A39" s="427"/>
      <c r="B39" s="427"/>
      <c r="C39" s="427"/>
      <c r="D39" s="427"/>
      <c r="E39" s="427"/>
      <c r="F39" s="427"/>
      <c r="G39" s="427"/>
      <c r="H39" s="427"/>
      <c r="I39" s="427"/>
      <c r="J39" s="427"/>
      <c r="K39" s="427"/>
      <c r="L39" s="427"/>
      <c r="M39" s="427"/>
      <c r="N39" s="427"/>
    </row>
    <row r="40" spans="1:14" ht="15.75">
      <c r="A40" s="427"/>
      <c r="B40" s="427"/>
      <c r="C40" s="427"/>
      <c r="D40" s="427"/>
      <c r="E40" s="427"/>
      <c r="F40" s="427"/>
      <c r="G40" s="427"/>
      <c r="H40" s="427"/>
      <c r="I40" s="427"/>
      <c r="J40" s="427"/>
      <c r="K40" s="427"/>
      <c r="L40" s="427"/>
      <c r="M40" s="427"/>
      <c r="N40" s="427"/>
    </row>
    <row r="41" spans="1:14" ht="15.75">
      <c r="A41" s="427"/>
      <c r="B41" s="427"/>
      <c r="C41" s="427"/>
      <c r="D41" s="427"/>
      <c r="E41" s="427"/>
      <c r="F41" s="427"/>
      <c r="G41" s="427"/>
      <c r="H41" s="427"/>
      <c r="I41" s="427"/>
      <c r="J41" s="427"/>
      <c r="K41" s="427"/>
      <c r="L41" s="427"/>
      <c r="M41" s="427"/>
      <c r="N41" s="427"/>
    </row>
    <row r="42" spans="1:14" ht="15.75">
      <c r="A42" s="427"/>
      <c r="B42" s="427"/>
      <c r="C42" s="427"/>
      <c r="D42" s="427"/>
      <c r="E42" s="427"/>
      <c r="F42" s="427"/>
      <c r="G42" s="427"/>
      <c r="H42" s="427"/>
      <c r="I42" s="427"/>
      <c r="J42" s="427"/>
      <c r="K42" s="427"/>
      <c r="L42" s="427"/>
      <c r="M42" s="427"/>
      <c r="N42" s="427"/>
    </row>
    <row r="43" spans="1:14" ht="15.75">
      <c r="A43" s="427"/>
      <c r="B43" s="427"/>
      <c r="C43" s="427"/>
      <c r="D43" s="427"/>
      <c r="E43" s="427"/>
      <c r="F43" s="427"/>
      <c r="G43" s="427"/>
      <c r="H43" s="427"/>
      <c r="I43" s="427"/>
      <c r="J43" s="427"/>
      <c r="K43" s="427"/>
      <c r="L43" s="427"/>
      <c r="M43" s="427"/>
      <c r="N43" s="427"/>
    </row>
    <row r="44" spans="1:14" ht="15.75">
      <c r="A44" s="427"/>
      <c r="B44" s="427"/>
      <c r="C44" s="427"/>
      <c r="D44" s="427"/>
      <c r="E44" s="427"/>
      <c r="F44" s="427"/>
      <c r="G44" s="427"/>
      <c r="H44" s="427"/>
      <c r="I44" s="427"/>
      <c r="J44" s="427"/>
      <c r="K44" s="427"/>
      <c r="L44" s="427"/>
      <c r="M44" s="427"/>
      <c r="N44" s="427"/>
    </row>
    <row r="45" spans="1:14" ht="15.75">
      <c r="A45" s="427"/>
      <c r="B45" s="427"/>
      <c r="C45" s="427"/>
      <c r="D45" s="427"/>
      <c r="E45" s="427"/>
      <c r="F45" s="427"/>
      <c r="G45" s="427"/>
      <c r="H45" s="427"/>
      <c r="I45" s="427"/>
      <c r="J45" s="427"/>
      <c r="K45" s="427"/>
      <c r="L45" s="427"/>
      <c r="M45" s="427"/>
      <c r="N45" s="427"/>
    </row>
    <row r="46" spans="1:9" ht="15.75">
      <c r="A46" s="427"/>
      <c r="B46" s="427"/>
      <c r="C46" s="427"/>
      <c r="D46" s="427"/>
      <c r="E46" s="427"/>
      <c r="F46" s="427"/>
      <c r="G46" s="427"/>
      <c r="H46" s="427"/>
      <c r="I46" s="427"/>
    </row>
  </sheetData>
  <sheetProtection/>
  <mergeCells count="19">
    <mergeCell ref="J21:N21"/>
    <mergeCell ref="C31:I31"/>
    <mergeCell ref="J16:N20"/>
    <mergeCell ref="C17:D17"/>
    <mergeCell ref="E17:F17"/>
    <mergeCell ref="C18:C20"/>
    <mergeCell ref="D18:D20"/>
    <mergeCell ref="E18:E20"/>
    <mergeCell ref="F18:F20"/>
    <mergeCell ref="A11:N11"/>
    <mergeCell ref="A12:N12"/>
    <mergeCell ref="A13:I13"/>
    <mergeCell ref="A15:I15"/>
    <mergeCell ref="A16:A20"/>
    <mergeCell ref="B16:B20"/>
    <mergeCell ref="C16:F16"/>
    <mergeCell ref="G16:G20"/>
    <mergeCell ref="H16:H20"/>
    <mergeCell ref="I16:I20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44"/>
  <sheetViews>
    <sheetView view="pageBreakPreview" zoomScale="65" zoomScaleSheetLayoutView="65" zoomScalePageLayoutView="0" workbookViewId="0" topLeftCell="A1">
      <selection activeCell="A25" sqref="A25"/>
    </sheetView>
  </sheetViews>
  <sheetFormatPr defaultColWidth="9.00390625" defaultRowHeight="15.75" outlineLevelRow="1"/>
  <cols>
    <col min="1" max="1" width="13.875" style="108" customWidth="1"/>
    <col min="2" max="2" width="31.75390625" style="311" customWidth="1"/>
    <col min="3" max="6" width="11.75390625" style="311" customWidth="1"/>
    <col min="7" max="8" width="20.00390625" style="311" customWidth="1"/>
    <col min="9" max="9" width="21.375" style="311" customWidth="1"/>
    <col min="10" max="14" width="7.875" style="311" customWidth="1"/>
    <col min="15" max="15" width="9.00390625" style="311" customWidth="1"/>
    <col min="16" max="16" width="11.625" style="108" customWidth="1"/>
    <col min="17" max="16384" width="9.00390625" style="108" customWidth="1"/>
  </cols>
  <sheetData>
    <row r="1" spans="1:14" ht="18" customHeight="1" outlineLevel="1">
      <c r="A1" s="311"/>
      <c r="B1" s="312"/>
      <c r="C1" s="312"/>
      <c r="D1" s="312"/>
      <c r="E1" s="312"/>
      <c r="F1" s="312"/>
      <c r="G1" s="312"/>
      <c r="H1" s="312"/>
      <c r="I1" s="312"/>
      <c r="N1" s="302" t="s">
        <v>486</v>
      </c>
    </row>
    <row r="2" spans="1:14" ht="15.75" outlineLevel="1">
      <c r="A2" s="311"/>
      <c r="B2" s="312"/>
      <c r="C2" s="312"/>
      <c r="D2" s="312"/>
      <c r="E2" s="312"/>
      <c r="F2" s="312"/>
      <c r="G2" s="312"/>
      <c r="H2" s="312"/>
      <c r="I2" s="312"/>
      <c r="N2" s="302" t="s">
        <v>37</v>
      </c>
    </row>
    <row r="3" spans="1:14" ht="15.75" outlineLevel="1">
      <c r="A3" s="311"/>
      <c r="B3" s="312"/>
      <c r="C3" s="312"/>
      <c r="D3" s="312"/>
      <c r="E3" s="312"/>
      <c r="F3" s="312"/>
      <c r="G3" s="312"/>
      <c r="H3" s="312"/>
      <c r="I3" s="312"/>
      <c r="N3" s="289" t="s">
        <v>379</v>
      </c>
    </row>
    <row r="4" spans="1:14" ht="15.75" outlineLevel="1">
      <c r="A4" s="311"/>
      <c r="B4" s="312"/>
      <c r="C4" s="312"/>
      <c r="D4" s="312"/>
      <c r="E4" s="312"/>
      <c r="F4" s="312"/>
      <c r="G4" s="312"/>
      <c r="H4" s="312"/>
      <c r="I4" s="312"/>
      <c r="N4" s="302"/>
    </row>
    <row r="5" spans="13:14" s="303" customFormat="1" ht="15.75" outlineLevel="1">
      <c r="M5" s="301"/>
      <c r="N5" s="109" t="s">
        <v>38</v>
      </c>
    </row>
    <row r="6" spans="13:14" s="303" customFormat="1" ht="15.75" outlineLevel="1">
      <c r="M6" s="301"/>
      <c r="N6" s="109" t="s">
        <v>647</v>
      </c>
    </row>
    <row r="7" spans="13:14" s="303" customFormat="1" ht="15.75" outlineLevel="1">
      <c r="M7" s="301"/>
      <c r="N7" s="109"/>
    </row>
    <row r="8" spans="13:14" s="303" customFormat="1" ht="15.75" outlineLevel="1">
      <c r="M8" s="301"/>
      <c r="N8" s="109" t="s">
        <v>648</v>
      </c>
    </row>
    <row r="9" spans="13:14" s="303" customFormat="1" ht="15.75" outlineLevel="1">
      <c r="M9" s="301"/>
      <c r="N9" s="109" t="s">
        <v>795</v>
      </c>
    </row>
    <row r="10" spans="13:14" s="303" customFormat="1" ht="15.75" outlineLevel="1">
      <c r="M10" s="301"/>
      <c r="N10" s="109" t="s">
        <v>42</v>
      </c>
    </row>
    <row r="11" spans="1:14" ht="33" customHeight="1">
      <c r="A11" s="1015" t="s">
        <v>790</v>
      </c>
      <c r="B11" s="1016"/>
      <c r="C11" s="1016"/>
      <c r="D11" s="1016"/>
      <c r="E11" s="1016"/>
      <c r="F11" s="1016"/>
      <c r="G11" s="1016"/>
      <c r="H11" s="1016"/>
      <c r="I11" s="1016"/>
      <c r="J11" s="1016"/>
      <c r="K11" s="1016"/>
      <c r="L11" s="1016"/>
      <c r="M11" s="1016"/>
      <c r="N11" s="1016"/>
    </row>
    <row r="12" spans="1:14" ht="38.25" customHeight="1">
      <c r="A12" s="1049" t="s">
        <v>759</v>
      </c>
      <c r="B12" s="1049"/>
      <c r="C12" s="1049"/>
      <c r="D12" s="1049"/>
      <c r="E12" s="1049"/>
      <c r="F12" s="1049"/>
      <c r="G12" s="1049"/>
      <c r="H12" s="1049"/>
      <c r="I12" s="1049"/>
      <c r="J12" s="1049"/>
      <c r="K12" s="1049"/>
      <c r="L12" s="1049"/>
      <c r="M12" s="1049"/>
      <c r="N12" s="1049"/>
    </row>
    <row r="13" spans="1:9" ht="15.75" customHeight="1">
      <c r="A13" s="1018" t="s">
        <v>796</v>
      </c>
      <c r="B13" s="1018"/>
      <c r="C13" s="1018"/>
      <c r="D13" s="1018"/>
      <c r="E13" s="1018"/>
      <c r="F13" s="1018"/>
      <c r="G13" s="1018"/>
      <c r="H13" s="1018"/>
      <c r="I13" s="1018"/>
    </row>
    <row r="14" spans="1:9" ht="15.75">
      <c r="A14" s="312"/>
      <c r="B14" s="312"/>
      <c r="C14" s="312"/>
      <c r="D14" s="312"/>
      <c r="E14" s="312"/>
      <c r="F14" s="312"/>
      <c r="G14" s="312"/>
      <c r="H14" s="312"/>
      <c r="I14" s="312"/>
    </row>
    <row r="15" spans="1:9" ht="16.5" customHeight="1" thickBot="1">
      <c r="A15" s="1019" t="s">
        <v>797</v>
      </c>
      <c r="B15" s="1019"/>
      <c r="C15" s="1020"/>
      <c r="D15" s="1020"/>
      <c r="E15" s="1020"/>
      <c r="F15" s="1020"/>
      <c r="G15" s="1020"/>
      <c r="H15" s="1020"/>
      <c r="I15" s="1020"/>
    </row>
    <row r="16" spans="1:14" ht="30.75" customHeight="1">
      <c r="A16" s="1021" t="s">
        <v>487</v>
      </c>
      <c r="B16" s="1023" t="s">
        <v>488</v>
      </c>
      <c r="C16" s="1023" t="s">
        <v>489</v>
      </c>
      <c r="D16" s="1023"/>
      <c r="E16" s="1023"/>
      <c r="F16" s="1023"/>
      <c r="G16" s="1023" t="s">
        <v>490</v>
      </c>
      <c r="H16" s="1023" t="s">
        <v>491</v>
      </c>
      <c r="I16" s="1025" t="s">
        <v>492</v>
      </c>
      <c r="J16" s="1034" t="s">
        <v>493</v>
      </c>
      <c r="K16" s="1035"/>
      <c r="L16" s="1035"/>
      <c r="M16" s="1035"/>
      <c r="N16" s="1036"/>
    </row>
    <row r="17" spans="1:14" ht="15.75">
      <c r="A17" s="1022"/>
      <c r="B17" s="1003"/>
      <c r="C17" s="1003" t="s">
        <v>494</v>
      </c>
      <c r="D17" s="1003"/>
      <c r="E17" s="1003" t="s">
        <v>495</v>
      </c>
      <c r="F17" s="1003"/>
      <c r="G17" s="1003"/>
      <c r="H17" s="1003"/>
      <c r="I17" s="1026"/>
      <c r="J17" s="1037"/>
      <c r="K17" s="1038"/>
      <c r="L17" s="1038"/>
      <c r="M17" s="1038"/>
      <c r="N17" s="1039"/>
    </row>
    <row r="18" spans="1:14" ht="15.75">
      <c r="A18" s="1022"/>
      <c r="B18" s="1003"/>
      <c r="C18" s="1046" t="s">
        <v>496</v>
      </c>
      <c r="D18" s="1046" t="s">
        <v>497</v>
      </c>
      <c r="E18" s="1046" t="s">
        <v>496</v>
      </c>
      <c r="F18" s="1046" t="s">
        <v>497</v>
      </c>
      <c r="G18" s="1003"/>
      <c r="H18" s="1003"/>
      <c r="I18" s="1026"/>
      <c r="J18" s="1040"/>
      <c r="K18" s="1041"/>
      <c r="L18" s="1041"/>
      <c r="M18" s="1041"/>
      <c r="N18" s="1042"/>
    </row>
    <row r="19" spans="1:14" ht="15.75">
      <c r="A19" s="1022"/>
      <c r="B19" s="1024"/>
      <c r="C19" s="1047"/>
      <c r="D19" s="1047"/>
      <c r="E19" s="1047"/>
      <c r="F19" s="1047"/>
      <c r="G19" s="1003"/>
      <c r="H19" s="1003"/>
      <c r="I19" s="1026"/>
      <c r="J19" s="1040"/>
      <c r="K19" s="1041"/>
      <c r="L19" s="1041"/>
      <c r="M19" s="1041"/>
      <c r="N19" s="1042"/>
    </row>
    <row r="20" spans="1:14" ht="15.75">
      <c r="A20" s="1022"/>
      <c r="B20" s="1003"/>
      <c r="C20" s="1048"/>
      <c r="D20" s="1048"/>
      <c r="E20" s="1048"/>
      <c r="F20" s="1048"/>
      <c r="G20" s="1003"/>
      <c r="H20" s="1003"/>
      <c r="I20" s="1026"/>
      <c r="J20" s="1043"/>
      <c r="K20" s="1044"/>
      <c r="L20" s="1044"/>
      <c r="M20" s="1044"/>
      <c r="N20" s="1045"/>
    </row>
    <row r="21" spans="1:14" ht="16.5" thickBot="1">
      <c r="A21" s="313">
        <v>1</v>
      </c>
      <c r="B21" s="314">
        <v>2</v>
      </c>
      <c r="C21" s="314">
        <v>3</v>
      </c>
      <c r="D21" s="314">
        <v>4</v>
      </c>
      <c r="E21" s="314">
        <v>5</v>
      </c>
      <c r="F21" s="314">
        <v>6</v>
      </c>
      <c r="G21" s="314">
        <v>8</v>
      </c>
      <c r="H21" s="314">
        <v>9</v>
      </c>
      <c r="I21" s="314">
        <v>10</v>
      </c>
      <c r="J21" s="1027">
        <v>11</v>
      </c>
      <c r="K21" s="1028"/>
      <c r="L21" s="1028"/>
      <c r="M21" s="1028"/>
      <c r="N21" s="1029"/>
    </row>
    <row r="22" spans="1:14" ht="25.5">
      <c r="A22" s="531" t="s">
        <v>510</v>
      </c>
      <c r="B22" s="317" t="s">
        <v>636</v>
      </c>
      <c r="C22" s="533">
        <v>42401</v>
      </c>
      <c r="D22" s="533">
        <v>42430</v>
      </c>
      <c r="E22" s="533">
        <v>42401</v>
      </c>
      <c r="F22" s="533">
        <v>42430</v>
      </c>
      <c r="G22" s="722">
        <v>100</v>
      </c>
      <c r="H22" s="509"/>
      <c r="I22" s="509"/>
      <c r="J22" s="510"/>
      <c r="K22" s="511"/>
      <c r="L22" s="511"/>
      <c r="M22" s="511"/>
      <c r="N22" s="512"/>
    </row>
    <row r="23" spans="1:17" ht="29.25" customHeight="1">
      <c r="A23" s="531" t="s">
        <v>516</v>
      </c>
      <c r="B23" s="317" t="s">
        <v>517</v>
      </c>
      <c r="C23" s="533">
        <v>42583</v>
      </c>
      <c r="D23" s="533">
        <v>42583</v>
      </c>
      <c r="E23" s="503">
        <v>42552</v>
      </c>
      <c r="F23" s="533">
        <v>42583</v>
      </c>
      <c r="G23" s="722">
        <v>100</v>
      </c>
      <c r="H23" s="509"/>
      <c r="I23" s="509"/>
      <c r="J23" s="510"/>
      <c r="K23" s="511"/>
      <c r="L23" s="511"/>
      <c r="M23" s="511"/>
      <c r="N23" s="512"/>
      <c r="P23" s="515"/>
      <c r="Q23" s="515"/>
    </row>
    <row r="24" spans="1:17" ht="38.25">
      <c r="A24" s="531" t="s">
        <v>518</v>
      </c>
      <c r="B24" s="317" t="s">
        <v>519</v>
      </c>
      <c r="C24" s="533">
        <v>42583</v>
      </c>
      <c r="D24" s="533">
        <v>42583</v>
      </c>
      <c r="E24" s="533">
        <v>42583</v>
      </c>
      <c r="F24" s="533">
        <v>42583</v>
      </c>
      <c r="G24" s="722">
        <v>100</v>
      </c>
      <c r="H24" s="509"/>
      <c r="I24" s="509"/>
      <c r="J24" s="510"/>
      <c r="K24" s="511"/>
      <c r="L24" s="511"/>
      <c r="M24" s="511"/>
      <c r="N24" s="512"/>
      <c r="P24" s="515"/>
      <c r="Q24" s="515"/>
    </row>
    <row r="25" spans="1:17" ht="76.5">
      <c r="A25" s="531" t="s">
        <v>522</v>
      </c>
      <c r="B25" s="317" t="s">
        <v>523</v>
      </c>
      <c r="C25" s="533">
        <v>42614</v>
      </c>
      <c r="D25" s="533">
        <v>42614</v>
      </c>
      <c r="E25" s="533">
        <v>42614</v>
      </c>
      <c r="F25" s="533">
        <v>42614</v>
      </c>
      <c r="G25" s="722">
        <v>100</v>
      </c>
      <c r="H25" s="509"/>
      <c r="I25" s="509"/>
      <c r="J25" s="510"/>
      <c r="K25" s="511"/>
      <c r="L25" s="511"/>
      <c r="M25" s="511"/>
      <c r="N25" s="512"/>
      <c r="P25" s="315"/>
      <c r="Q25" s="315"/>
    </row>
    <row r="26" ht="15.75">
      <c r="B26" s="321"/>
    </row>
    <row r="27" spans="1:2" ht="15.75">
      <c r="A27" s="108" t="s">
        <v>524</v>
      </c>
      <c r="B27" s="321"/>
    </row>
    <row r="29" spans="3:9" ht="15.75">
      <c r="C29" s="1033" t="str">
        <f>'11.1 (ДЭС п. Таёжный)'!C30:I30</f>
        <v>Начальник ПТО                                                                             С. А. Апекин</v>
      </c>
      <c r="D29" s="1033"/>
      <c r="E29" s="1033"/>
      <c r="F29" s="1033"/>
      <c r="G29" s="1033"/>
      <c r="H29" s="1033"/>
      <c r="I29" s="1033"/>
    </row>
    <row r="32" spans="1:14" ht="15.75">
      <c r="A32" s="427"/>
      <c r="B32" s="427"/>
      <c r="C32" s="427"/>
      <c r="D32" s="427"/>
      <c r="E32" s="427"/>
      <c r="F32" s="427"/>
      <c r="G32" s="427"/>
      <c r="H32" s="427"/>
      <c r="I32" s="427"/>
      <c r="J32" s="427"/>
      <c r="K32" s="427"/>
      <c r="L32" s="427"/>
      <c r="M32" s="427"/>
      <c r="N32" s="427"/>
    </row>
    <row r="33" spans="1:14" ht="15.75">
      <c r="A33" s="427"/>
      <c r="B33" s="427"/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7"/>
    </row>
    <row r="34" spans="1:14" ht="15.75">
      <c r="A34" s="427"/>
      <c r="B34" s="427"/>
      <c r="C34" s="427"/>
      <c r="D34" s="427"/>
      <c r="E34" s="427"/>
      <c r="F34" s="427"/>
      <c r="G34" s="427"/>
      <c r="H34" s="427"/>
      <c r="I34" s="427"/>
      <c r="J34" s="427"/>
      <c r="K34" s="427"/>
      <c r="L34" s="427"/>
      <c r="M34" s="427"/>
      <c r="N34" s="427"/>
    </row>
    <row r="35" spans="1:14" ht="15.75">
      <c r="A35" s="427"/>
      <c r="B35" s="427"/>
      <c r="C35" s="427"/>
      <c r="D35" s="427"/>
      <c r="E35" s="427"/>
      <c r="F35" s="427"/>
      <c r="G35" s="427"/>
      <c r="H35" s="427"/>
      <c r="I35" s="427"/>
      <c r="J35" s="427"/>
      <c r="K35" s="427"/>
      <c r="L35" s="427"/>
      <c r="M35" s="427"/>
      <c r="N35" s="427"/>
    </row>
    <row r="36" spans="1:14" ht="15.75">
      <c r="A36" s="427"/>
      <c r="B36" s="427"/>
      <c r="C36" s="427"/>
      <c r="D36" s="427"/>
      <c r="E36" s="427"/>
      <c r="F36" s="427"/>
      <c r="G36" s="427"/>
      <c r="H36" s="427"/>
      <c r="I36" s="427"/>
      <c r="J36" s="427"/>
      <c r="K36" s="427"/>
      <c r="L36" s="427"/>
      <c r="M36" s="427"/>
      <c r="N36" s="427"/>
    </row>
    <row r="37" spans="1:14" ht="15.75">
      <c r="A37" s="427"/>
      <c r="B37" s="427"/>
      <c r="C37" s="427"/>
      <c r="D37" s="427"/>
      <c r="E37" s="427"/>
      <c r="F37" s="427"/>
      <c r="G37" s="427"/>
      <c r="H37" s="427"/>
      <c r="I37" s="427"/>
      <c r="J37" s="427"/>
      <c r="K37" s="427"/>
      <c r="L37" s="427"/>
      <c r="M37" s="427"/>
      <c r="N37" s="427"/>
    </row>
    <row r="38" spans="1:14" ht="15.75">
      <c r="A38" s="427"/>
      <c r="B38" s="427"/>
      <c r="C38" s="427"/>
      <c r="D38" s="427"/>
      <c r="E38" s="427"/>
      <c r="F38" s="427"/>
      <c r="G38" s="427"/>
      <c r="H38" s="427"/>
      <c r="I38" s="427"/>
      <c r="J38" s="427"/>
      <c r="K38" s="427"/>
      <c r="L38" s="427"/>
      <c r="M38" s="427"/>
      <c r="N38" s="427"/>
    </row>
    <row r="39" spans="1:14" ht="15.75">
      <c r="A39" s="427"/>
      <c r="B39" s="427"/>
      <c r="C39" s="427"/>
      <c r="D39" s="427"/>
      <c r="E39" s="427"/>
      <c r="F39" s="427"/>
      <c r="G39" s="427"/>
      <c r="H39" s="427"/>
      <c r="I39" s="427"/>
      <c r="J39" s="427"/>
      <c r="K39" s="427"/>
      <c r="L39" s="427"/>
      <c r="M39" s="427"/>
      <c r="N39" s="427"/>
    </row>
    <row r="40" spans="1:14" ht="15.75">
      <c r="A40" s="427"/>
      <c r="B40" s="427"/>
      <c r="C40" s="427"/>
      <c r="D40" s="427"/>
      <c r="E40" s="427"/>
      <c r="F40" s="427"/>
      <c r="G40" s="427"/>
      <c r="H40" s="427"/>
      <c r="I40" s="427"/>
      <c r="J40" s="427"/>
      <c r="K40" s="427"/>
      <c r="L40" s="427"/>
      <c r="M40" s="427"/>
      <c r="N40" s="427"/>
    </row>
    <row r="41" spans="1:14" ht="15.75">
      <c r="A41" s="427"/>
      <c r="B41" s="427"/>
      <c r="C41" s="427"/>
      <c r="D41" s="427"/>
      <c r="E41" s="427"/>
      <c r="F41" s="427"/>
      <c r="G41" s="427"/>
      <c r="H41" s="427"/>
      <c r="I41" s="427"/>
      <c r="J41" s="427"/>
      <c r="K41" s="427"/>
      <c r="L41" s="427"/>
      <c r="M41" s="427"/>
      <c r="N41" s="427"/>
    </row>
    <row r="42" spans="1:14" ht="15.75">
      <c r="A42" s="427"/>
      <c r="B42" s="427"/>
      <c r="C42" s="427"/>
      <c r="D42" s="427"/>
      <c r="E42" s="427"/>
      <c r="F42" s="427"/>
      <c r="G42" s="427"/>
      <c r="H42" s="427"/>
      <c r="I42" s="427"/>
      <c r="J42" s="427"/>
      <c r="K42" s="427"/>
      <c r="L42" s="427"/>
      <c r="M42" s="427"/>
      <c r="N42" s="427"/>
    </row>
    <row r="43" spans="1:14" ht="15.75">
      <c r="A43" s="427"/>
      <c r="B43" s="427"/>
      <c r="C43" s="427"/>
      <c r="D43" s="427"/>
      <c r="E43" s="427"/>
      <c r="F43" s="427"/>
      <c r="G43" s="427"/>
      <c r="H43" s="427"/>
      <c r="I43" s="427"/>
      <c r="J43" s="427"/>
      <c r="K43" s="427"/>
      <c r="L43" s="427"/>
      <c r="M43" s="427"/>
      <c r="N43" s="427"/>
    </row>
    <row r="44" spans="1:9" ht="15.75">
      <c r="A44" s="427"/>
      <c r="B44" s="427"/>
      <c r="C44" s="427"/>
      <c r="D44" s="427"/>
      <c r="E44" s="427"/>
      <c r="F44" s="427"/>
      <c r="G44" s="427"/>
      <c r="H44" s="427"/>
      <c r="I44" s="427"/>
    </row>
  </sheetData>
  <sheetProtection/>
  <mergeCells count="19">
    <mergeCell ref="J21:N21"/>
    <mergeCell ref="C29:I29"/>
    <mergeCell ref="J16:N20"/>
    <mergeCell ref="C17:D17"/>
    <mergeCell ref="E17:F17"/>
    <mergeCell ref="C18:C20"/>
    <mergeCell ref="D18:D20"/>
    <mergeCell ref="E18:E20"/>
    <mergeCell ref="F18:F20"/>
    <mergeCell ref="A11:N11"/>
    <mergeCell ref="A12:N12"/>
    <mergeCell ref="A13:I13"/>
    <mergeCell ref="A15:I15"/>
    <mergeCell ref="A16:A20"/>
    <mergeCell ref="B16:B20"/>
    <mergeCell ref="C16:F16"/>
    <mergeCell ref="G16:G20"/>
    <mergeCell ref="H16:H20"/>
    <mergeCell ref="I16:I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44"/>
  <sheetViews>
    <sheetView view="pageBreakPreview" zoomScale="65" zoomScaleSheetLayoutView="65" zoomScalePageLayoutView="0" workbookViewId="0" topLeftCell="A7">
      <selection activeCell="A23" sqref="A23"/>
    </sheetView>
  </sheetViews>
  <sheetFormatPr defaultColWidth="9.00390625" defaultRowHeight="15.75" outlineLevelRow="1"/>
  <cols>
    <col min="1" max="1" width="13.875" style="108" customWidth="1"/>
    <col min="2" max="2" width="31.75390625" style="311" customWidth="1"/>
    <col min="3" max="6" width="11.75390625" style="311" customWidth="1"/>
    <col min="7" max="8" width="20.00390625" style="311" customWidth="1"/>
    <col min="9" max="9" width="21.375" style="311" customWidth="1"/>
    <col min="10" max="14" width="7.875" style="311" customWidth="1"/>
    <col min="15" max="15" width="9.00390625" style="311" customWidth="1"/>
    <col min="16" max="16" width="11.625" style="108" customWidth="1"/>
    <col min="17" max="16384" width="9.00390625" style="108" customWidth="1"/>
  </cols>
  <sheetData>
    <row r="1" spans="1:14" ht="18" customHeight="1" outlineLevel="1">
      <c r="A1" s="311"/>
      <c r="B1" s="312"/>
      <c r="C1" s="312"/>
      <c r="D1" s="312"/>
      <c r="E1" s="312"/>
      <c r="F1" s="312"/>
      <c r="G1" s="312"/>
      <c r="H1" s="312"/>
      <c r="I1" s="312"/>
      <c r="N1" s="302" t="s">
        <v>486</v>
      </c>
    </row>
    <row r="2" spans="1:14" ht="15.75" outlineLevel="1">
      <c r="A2" s="311"/>
      <c r="B2" s="312"/>
      <c r="C2" s="312"/>
      <c r="D2" s="312"/>
      <c r="E2" s="312"/>
      <c r="F2" s="312"/>
      <c r="G2" s="312"/>
      <c r="H2" s="312"/>
      <c r="I2" s="312"/>
      <c r="N2" s="302" t="s">
        <v>37</v>
      </c>
    </row>
    <row r="3" spans="1:14" ht="15.75" outlineLevel="1">
      <c r="A3" s="311"/>
      <c r="B3" s="312"/>
      <c r="C3" s="312"/>
      <c r="D3" s="312"/>
      <c r="E3" s="312"/>
      <c r="F3" s="312"/>
      <c r="G3" s="312"/>
      <c r="H3" s="312"/>
      <c r="I3" s="312"/>
      <c r="N3" s="289" t="s">
        <v>379</v>
      </c>
    </row>
    <row r="4" spans="1:14" ht="15.75" outlineLevel="1">
      <c r="A4" s="311"/>
      <c r="B4" s="312"/>
      <c r="C4" s="312"/>
      <c r="D4" s="312"/>
      <c r="E4" s="312"/>
      <c r="F4" s="312"/>
      <c r="G4" s="312"/>
      <c r="H4" s="312"/>
      <c r="I4" s="312"/>
      <c r="N4" s="302"/>
    </row>
    <row r="5" spans="13:14" s="303" customFormat="1" ht="15.75" outlineLevel="1">
      <c r="M5" s="301"/>
      <c r="N5" s="109" t="s">
        <v>38</v>
      </c>
    </row>
    <row r="6" spans="13:14" s="303" customFormat="1" ht="15.75" outlineLevel="1">
      <c r="M6" s="301"/>
      <c r="N6" s="109" t="s">
        <v>647</v>
      </c>
    </row>
    <row r="7" spans="13:14" s="303" customFormat="1" ht="15.75" outlineLevel="1">
      <c r="M7" s="301"/>
      <c r="N7" s="109"/>
    </row>
    <row r="8" spans="13:14" s="303" customFormat="1" ht="15.75" outlineLevel="1">
      <c r="M8" s="301"/>
      <c r="N8" s="109" t="s">
        <v>648</v>
      </c>
    </row>
    <row r="9" spans="13:14" s="303" customFormat="1" ht="15.75" outlineLevel="1">
      <c r="M9" s="301"/>
      <c r="N9" s="109" t="s">
        <v>795</v>
      </c>
    </row>
    <row r="10" spans="13:14" s="303" customFormat="1" ht="15.75" outlineLevel="1">
      <c r="M10" s="301"/>
      <c r="N10" s="109" t="s">
        <v>42</v>
      </c>
    </row>
    <row r="11" spans="1:14" ht="33" customHeight="1">
      <c r="A11" s="1015" t="s">
        <v>790</v>
      </c>
      <c r="B11" s="1016"/>
      <c r="C11" s="1016"/>
      <c r="D11" s="1016"/>
      <c r="E11" s="1016"/>
      <c r="F11" s="1016"/>
      <c r="G11" s="1016"/>
      <c r="H11" s="1016"/>
      <c r="I11" s="1016"/>
      <c r="J11" s="1016"/>
      <c r="K11" s="1016"/>
      <c r="L11" s="1016"/>
      <c r="M11" s="1016"/>
      <c r="N11" s="1016"/>
    </row>
    <row r="12" spans="1:14" ht="38.25" customHeight="1">
      <c r="A12" s="1049" t="s">
        <v>760</v>
      </c>
      <c r="B12" s="1049"/>
      <c r="C12" s="1049"/>
      <c r="D12" s="1049"/>
      <c r="E12" s="1049"/>
      <c r="F12" s="1049"/>
      <c r="G12" s="1049"/>
      <c r="H12" s="1049"/>
      <c r="I12" s="1049"/>
      <c r="J12" s="1049"/>
      <c r="K12" s="1049"/>
      <c r="L12" s="1049"/>
      <c r="M12" s="1049"/>
      <c r="N12" s="1049"/>
    </row>
    <row r="13" spans="1:9" ht="15.75" customHeight="1">
      <c r="A13" s="1018" t="s">
        <v>796</v>
      </c>
      <c r="B13" s="1018"/>
      <c r="C13" s="1018"/>
      <c r="D13" s="1018"/>
      <c r="E13" s="1018"/>
      <c r="F13" s="1018"/>
      <c r="G13" s="1018"/>
      <c r="H13" s="1018"/>
      <c r="I13" s="1018"/>
    </row>
    <row r="14" spans="1:9" ht="15.75">
      <c r="A14" s="312"/>
      <c r="B14" s="312"/>
      <c r="C14" s="312"/>
      <c r="D14" s="312"/>
      <c r="E14" s="312"/>
      <c r="F14" s="312"/>
      <c r="G14" s="312"/>
      <c r="H14" s="312"/>
      <c r="I14" s="312"/>
    </row>
    <row r="15" spans="1:9" ht="16.5" customHeight="1" thickBot="1">
      <c r="A15" s="1019" t="s">
        <v>797</v>
      </c>
      <c r="B15" s="1019"/>
      <c r="C15" s="1020"/>
      <c r="D15" s="1020"/>
      <c r="E15" s="1020"/>
      <c r="F15" s="1020"/>
      <c r="G15" s="1020"/>
      <c r="H15" s="1020"/>
      <c r="I15" s="1020"/>
    </row>
    <row r="16" spans="1:14" ht="30.75" customHeight="1">
      <c r="A16" s="1021" t="s">
        <v>487</v>
      </c>
      <c r="B16" s="1023" t="s">
        <v>488</v>
      </c>
      <c r="C16" s="1023" t="s">
        <v>489</v>
      </c>
      <c r="D16" s="1023"/>
      <c r="E16" s="1023"/>
      <c r="F16" s="1023"/>
      <c r="G16" s="1023" t="s">
        <v>490</v>
      </c>
      <c r="H16" s="1023" t="s">
        <v>491</v>
      </c>
      <c r="I16" s="1025" t="s">
        <v>492</v>
      </c>
      <c r="J16" s="1034" t="s">
        <v>493</v>
      </c>
      <c r="K16" s="1035"/>
      <c r="L16" s="1035"/>
      <c r="M16" s="1035"/>
      <c r="N16" s="1036"/>
    </row>
    <row r="17" spans="1:14" ht="15.75">
      <c r="A17" s="1022"/>
      <c r="B17" s="1003"/>
      <c r="C17" s="1003" t="s">
        <v>494</v>
      </c>
      <c r="D17" s="1003"/>
      <c r="E17" s="1003" t="s">
        <v>495</v>
      </c>
      <c r="F17" s="1003"/>
      <c r="G17" s="1003"/>
      <c r="H17" s="1003"/>
      <c r="I17" s="1026"/>
      <c r="J17" s="1037"/>
      <c r="K17" s="1038"/>
      <c r="L17" s="1038"/>
      <c r="M17" s="1038"/>
      <c r="N17" s="1039"/>
    </row>
    <row r="18" spans="1:14" ht="15.75">
      <c r="A18" s="1022"/>
      <c r="B18" s="1003"/>
      <c r="C18" s="1046" t="s">
        <v>496</v>
      </c>
      <c r="D18" s="1046" t="s">
        <v>497</v>
      </c>
      <c r="E18" s="1046" t="s">
        <v>496</v>
      </c>
      <c r="F18" s="1046" t="s">
        <v>497</v>
      </c>
      <c r="G18" s="1003"/>
      <c r="H18" s="1003"/>
      <c r="I18" s="1026"/>
      <c r="J18" s="1040"/>
      <c r="K18" s="1041"/>
      <c r="L18" s="1041"/>
      <c r="M18" s="1041"/>
      <c r="N18" s="1042"/>
    </row>
    <row r="19" spans="1:14" ht="15.75">
      <c r="A19" s="1022"/>
      <c r="B19" s="1024"/>
      <c r="C19" s="1047"/>
      <c r="D19" s="1047"/>
      <c r="E19" s="1047"/>
      <c r="F19" s="1047"/>
      <c r="G19" s="1003"/>
      <c r="H19" s="1003"/>
      <c r="I19" s="1026"/>
      <c r="J19" s="1040"/>
      <c r="K19" s="1041"/>
      <c r="L19" s="1041"/>
      <c r="M19" s="1041"/>
      <c r="N19" s="1042"/>
    </row>
    <row r="20" spans="1:14" ht="15.75">
      <c r="A20" s="1022"/>
      <c r="B20" s="1003"/>
      <c r="C20" s="1048"/>
      <c r="D20" s="1048"/>
      <c r="E20" s="1048"/>
      <c r="F20" s="1048"/>
      <c r="G20" s="1003"/>
      <c r="H20" s="1003"/>
      <c r="I20" s="1026"/>
      <c r="J20" s="1043"/>
      <c r="K20" s="1044"/>
      <c r="L20" s="1044"/>
      <c r="M20" s="1044"/>
      <c r="N20" s="1045"/>
    </row>
    <row r="21" spans="1:14" ht="16.5" thickBot="1">
      <c r="A21" s="313">
        <v>1</v>
      </c>
      <c r="B21" s="314">
        <v>2</v>
      </c>
      <c r="C21" s="314">
        <v>3</v>
      </c>
      <c r="D21" s="314">
        <v>4</v>
      </c>
      <c r="E21" s="314">
        <v>5</v>
      </c>
      <c r="F21" s="314">
        <v>6</v>
      </c>
      <c r="G21" s="314">
        <v>8</v>
      </c>
      <c r="H21" s="314">
        <v>9</v>
      </c>
      <c r="I21" s="314">
        <v>10</v>
      </c>
      <c r="J21" s="1027">
        <v>11</v>
      </c>
      <c r="K21" s="1028"/>
      <c r="L21" s="1028"/>
      <c r="M21" s="1028"/>
      <c r="N21" s="1029"/>
    </row>
    <row r="22" spans="1:14" ht="25.5">
      <c r="A22" s="531" t="s">
        <v>510</v>
      </c>
      <c r="B22" s="317" t="s">
        <v>636</v>
      </c>
      <c r="C22" s="533">
        <v>42401</v>
      </c>
      <c r="D22" s="533">
        <v>42430</v>
      </c>
      <c r="E22" s="533">
        <v>42401</v>
      </c>
      <c r="F22" s="533">
        <v>42430</v>
      </c>
      <c r="G22" s="722">
        <v>100</v>
      </c>
      <c r="H22" s="509"/>
      <c r="I22" s="509"/>
      <c r="J22" s="510"/>
      <c r="K22" s="511"/>
      <c r="L22" s="511"/>
      <c r="M22" s="511"/>
      <c r="N22" s="512"/>
    </row>
    <row r="23" spans="1:17" ht="29.25" customHeight="1">
      <c r="A23" s="531" t="s">
        <v>516</v>
      </c>
      <c r="B23" s="317" t="s">
        <v>517</v>
      </c>
      <c r="C23" s="533">
        <v>42583</v>
      </c>
      <c r="D23" s="533">
        <v>42583</v>
      </c>
      <c r="E23" s="503">
        <v>42552</v>
      </c>
      <c r="F23" s="533">
        <v>42583</v>
      </c>
      <c r="G23" s="722">
        <v>100</v>
      </c>
      <c r="H23" s="509"/>
      <c r="I23" s="509"/>
      <c r="J23" s="510"/>
      <c r="K23" s="511"/>
      <c r="L23" s="511"/>
      <c r="M23" s="511"/>
      <c r="N23" s="512"/>
      <c r="P23" s="515"/>
      <c r="Q23" s="515"/>
    </row>
    <row r="24" spans="1:17" ht="38.25">
      <c r="A24" s="531" t="s">
        <v>518</v>
      </c>
      <c r="B24" s="317" t="s">
        <v>519</v>
      </c>
      <c r="C24" s="533">
        <v>42583</v>
      </c>
      <c r="D24" s="533">
        <v>42583</v>
      </c>
      <c r="E24" s="533">
        <v>42583</v>
      </c>
      <c r="F24" s="533">
        <v>42583</v>
      </c>
      <c r="G24" s="722">
        <v>100</v>
      </c>
      <c r="H24" s="509"/>
      <c r="I24" s="509"/>
      <c r="J24" s="510"/>
      <c r="K24" s="511"/>
      <c r="L24" s="511"/>
      <c r="M24" s="511"/>
      <c r="N24" s="512"/>
      <c r="P24" s="515"/>
      <c r="Q24" s="515"/>
    </row>
    <row r="25" spans="1:17" ht="76.5">
      <c r="A25" s="531" t="s">
        <v>522</v>
      </c>
      <c r="B25" s="317" t="s">
        <v>523</v>
      </c>
      <c r="C25" s="533">
        <v>42614</v>
      </c>
      <c r="D25" s="533">
        <v>42614</v>
      </c>
      <c r="E25" s="533">
        <v>42614</v>
      </c>
      <c r="F25" s="533">
        <v>42614</v>
      </c>
      <c r="G25" s="722">
        <v>100</v>
      </c>
      <c r="H25" s="509"/>
      <c r="I25" s="509"/>
      <c r="J25" s="510"/>
      <c r="K25" s="511"/>
      <c r="L25" s="511"/>
      <c r="M25" s="511"/>
      <c r="N25" s="512"/>
      <c r="P25" s="315"/>
      <c r="Q25" s="315"/>
    </row>
    <row r="26" ht="15.75">
      <c r="B26" s="321"/>
    </row>
    <row r="27" spans="1:2" ht="15.75">
      <c r="A27" s="108" t="s">
        <v>524</v>
      </c>
      <c r="B27" s="321"/>
    </row>
    <row r="29" spans="3:9" ht="15.75">
      <c r="C29" s="1033" t="str">
        <f>'11.1. (ТП-2 Хаилино)'!C29:I29</f>
        <v>Начальник ПТО                                                                             С. А. Апекин</v>
      </c>
      <c r="D29" s="1033"/>
      <c r="E29" s="1033"/>
      <c r="F29" s="1033"/>
      <c r="G29" s="1033"/>
      <c r="H29" s="1033"/>
      <c r="I29" s="1033"/>
    </row>
    <row r="32" spans="1:14" ht="15.75">
      <c r="A32" s="427"/>
      <c r="B32" s="427"/>
      <c r="C32" s="427"/>
      <c r="D32" s="427"/>
      <c r="E32" s="427"/>
      <c r="F32" s="427"/>
      <c r="G32" s="427"/>
      <c r="H32" s="427"/>
      <c r="I32" s="427"/>
      <c r="J32" s="427"/>
      <c r="K32" s="427"/>
      <c r="L32" s="427"/>
      <c r="M32" s="427"/>
      <c r="N32" s="427"/>
    </row>
    <row r="33" spans="1:14" ht="15.75">
      <c r="A33" s="427"/>
      <c r="B33" s="427"/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7"/>
    </row>
    <row r="34" spans="1:14" ht="15.75">
      <c r="A34" s="427"/>
      <c r="B34" s="427"/>
      <c r="C34" s="427"/>
      <c r="D34" s="427"/>
      <c r="E34" s="427"/>
      <c r="F34" s="427"/>
      <c r="G34" s="427"/>
      <c r="H34" s="427"/>
      <c r="I34" s="427"/>
      <c r="J34" s="427"/>
      <c r="K34" s="427"/>
      <c r="L34" s="427"/>
      <c r="M34" s="427"/>
      <c r="N34" s="427"/>
    </row>
    <row r="35" spans="1:14" ht="15.75">
      <c r="A35" s="427"/>
      <c r="B35" s="427"/>
      <c r="C35" s="427"/>
      <c r="D35" s="427"/>
      <c r="E35" s="427"/>
      <c r="F35" s="427"/>
      <c r="G35" s="427"/>
      <c r="H35" s="427"/>
      <c r="I35" s="427"/>
      <c r="J35" s="427"/>
      <c r="K35" s="427"/>
      <c r="L35" s="427"/>
      <c r="M35" s="427"/>
      <c r="N35" s="427"/>
    </row>
    <row r="36" spans="1:14" ht="15.75">
      <c r="A36" s="427"/>
      <c r="B36" s="427"/>
      <c r="C36" s="427"/>
      <c r="D36" s="427"/>
      <c r="E36" s="427"/>
      <c r="F36" s="427"/>
      <c r="G36" s="427"/>
      <c r="H36" s="427"/>
      <c r="I36" s="427"/>
      <c r="J36" s="427"/>
      <c r="K36" s="427"/>
      <c r="L36" s="427"/>
      <c r="M36" s="427"/>
      <c r="N36" s="427"/>
    </row>
    <row r="37" spans="1:14" ht="15.75">
      <c r="A37" s="427"/>
      <c r="B37" s="427"/>
      <c r="C37" s="427"/>
      <c r="D37" s="427"/>
      <c r="E37" s="427"/>
      <c r="F37" s="427"/>
      <c r="G37" s="427"/>
      <c r="H37" s="427"/>
      <c r="I37" s="427"/>
      <c r="J37" s="427"/>
      <c r="K37" s="427"/>
      <c r="L37" s="427"/>
      <c r="M37" s="427"/>
      <c r="N37" s="427"/>
    </row>
    <row r="38" spans="1:14" ht="15.75">
      <c r="A38" s="427"/>
      <c r="B38" s="427"/>
      <c r="C38" s="427"/>
      <c r="D38" s="427"/>
      <c r="E38" s="427"/>
      <c r="F38" s="427"/>
      <c r="G38" s="427"/>
      <c r="H38" s="427"/>
      <c r="I38" s="427"/>
      <c r="J38" s="427"/>
      <c r="K38" s="427"/>
      <c r="L38" s="427"/>
      <c r="M38" s="427"/>
      <c r="N38" s="427"/>
    </row>
    <row r="39" spans="1:14" ht="15.75">
      <c r="A39" s="427"/>
      <c r="B39" s="427"/>
      <c r="C39" s="427"/>
      <c r="D39" s="427"/>
      <c r="E39" s="427"/>
      <c r="F39" s="427"/>
      <c r="G39" s="427"/>
      <c r="H39" s="427"/>
      <c r="I39" s="427"/>
      <c r="J39" s="427"/>
      <c r="K39" s="427"/>
      <c r="L39" s="427"/>
      <c r="M39" s="427"/>
      <c r="N39" s="427"/>
    </row>
    <row r="40" spans="1:14" ht="15.75">
      <c r="A40" s="427"/>
      <c r="B40" s="427"/>
      <c r="C40" s="427"/>
      <c r="D40" s="427"/>
      <c r="E40" s="427"/>
      <c r="F40" s="427"/>
      <c r="G40" s="427"/>
      <c r="H40" s="427"/>
      <c r="I40" s="427"/>
      <c r="J40" s="427"/>
      <c r="K40" s="427"/>
      <c r="L40" s="427"/>
      <c r="M40" s="427"/>
      <c r="N40" s="427"/>
    </row>
    <row r="41" spans="1:14" ht="15.75">
      <c r="A41" s="427"/>
      <c r="B41" s="427"/>
      <c r="C41" s="427"/>
      <c r="D41" s="427"/>
      <c r="E41" s="427"/>
      <c r="F41" s="427"/>
      <c r="G41" s="427"/>
      <c r="H41" s="427"/>
      <c r="I41" s="427"/>
      <c r="J41" s="427"/>
      <c r="K41" s="427"/>
      <c r="L41" s="427"/>
      <c r="M41" s="427"/>
      <c r="N41" s="427"/>
    </row>
    <row r="42" spans="1:14" ht="15.75">
      <c r="A42" s="427"/>
      <c r="B42" s="427"/>
      <c r="C42" s="427"/>
      <c r="D42" s="427"/>
      <c r="E42" s="427"/>
      <c r="F42" s="427"/>
      <c r="G42" s="427"/>
      <c r="H42" s="427"/>
      <c r="I42" s="427"/>
      <c r="J42" s="427"/>
      <c r="K42" s="427"/>
      <c r="L42" s="427"/>
      <c r="M42" s="427"/>
      <c r="N42" s="427"/>
    </row>
    <row r="43" spans="1:14" ht="15.75">
      <c r="A43" s="427"/>
      <c r="B43" s="427"/>
      <c r="C43" s="427"/>
      <c r="D43" s="427"/>
      <c r="E43" s="427"/>
      <c r="F43" s="427"/>
      <c r="G43" s="427"/>
      <c r="H43" s="427"/>
      <c r="I43" s="427"/>
      <c r="J43" s="427"/>
      <c r="K43" s="427"/>
      <c r="L43" s="427"/>
      <c r="M43" s="427"/>
      <c r="N43" s="427"/>
    </row>
    <row r="44" spans="1:9" ht="15.75">
      <c r="A44" s="427"/>
      <c r="B44" s="427"/>
      <c r="C44" s="427"/>
      <c r="D44" s="427"/>
      <c r="E44" s="427"/>
      <c r="F44" s="427"/>
      <c r="G44" s="427"/>
      <c r="H44" s="427"/>
      <c r="I44" s="427"/>
    </row>
  </sheetData>
  <sheetProtection/>
  <mergeCells count="19">
    <mergeCell ref="J21:N21"/>
    <mergeCell ref="C29:I29"/>
    <mergeCell ref="J16:N20"/>
    <mergeCell ref="C17:D17"/>
    <mergeCell ref="E17:F17"/>
    <mergeCell ref="C18:C20"/>
    <mergeCell ref="D18:D20"/>
    <mergeCell ref="E18:E20"/>
    <mergeCell ref="F18:F20"/>
    <mergeCell ref="A11:N11"/>
    <mergeCell ref="A12:N12"/>
    <mergeCell ref="A13:I13"/>
    <mergeCell ref="A15:I15"/>
    <mergeCell ref="A16:A20"/>
    <mergeCell ref="B16:B20"/>
    <mergeCell ref="C16:F16"/>
    <mergeCell ref="G16:G20"/>
    <mergeCell ref="H16:H20"/>
    <mergeCell ref="I16:I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61"/>
  <sheetViews>
    <sheetView view="pageBreakPreview" zoomScale="65" zoomScaleNormal="70" zoomScaleSheetLayoutView="65" zoomScalePageLayoutView="0" workbookViewId="0" topLeftCell="A13">
      <selection activeCell="A37" sqref="A37"/>
    </sheetView>
  </sheetViews>
  <sheetFormatPr defaultColWidth="9.00390625" defaultRowHeight="15.75"/>
  <cols>
    <col min="1" max="1" width="13.875" style="108" customWidth="1"/>
    <col min="2" max="2" width="31.75390625" style="311" customWidth="1"/>
    <col min="3" max="6" width="11.75390625" style="311" customWidth="1"/>
    <col min="7" max="8" width="20.00390625" style="311" customWidth="1"/>
    <col min="9" max="9" width="15.625" style="311" customWidth="1"/>
    <col min="10" max="14" width="7.875" style="311" customWidth="1"/>
    <col min="15" max="15" width="9.00390625" style="311" customWidth="1"/>
    <col min="16" max="16384" width="9.00390625" style="108" customWidth="1"/>
  </cols>
  <sheetData>
    <row r="1" spans="1:14" ht="15.75">
      <c r="A1" s="311"/>
      <c r="B1" s="312"/>
      <c r="C1" s="312"/>
      <c r="D1" s="312"/>
      <c r="E1" s="312"/>
      <c r="F1" s="312"/>
      <c r="G1" s="312"/>
      <c r="H1" s="312"/>
      <c r="I1" s="312"/>
      <c r="N1" s="302" t="s">
        <v>486</v>
      </c>
    </row>
    <row r="2" spans="1:14" ht="15.75">
      <c r="A2" s="311"/>
      <c r="B2" s="312"/>
      <c r="C2" s="312"/>
      <c r="D2" s="312"/>
      <c r="E2" s="312"/>
      <c r="F2" s="312"/>
      <c r="G2" s="312"/>
      <c r="H2" s="312"/>
      <c r="I2" s="312"/>
      <c r="N2" s="302" t="s">
        <v>37</v>
      </c>
    </row>
    <row r="3" spans="1:14" ht="15.75">
      <c r="A3" s="311"/>
      <c r="B3" s="312"/>
      <c r="C3" s="312"/>
      <c r="D3" s="312"/>
      <c r="E3" s="312"/>
      <c r="F3" s="312"/>
      <c r="G3" s="312"/>
      <c r="H3" s="312"/>
      <c r="I3" s="312"/>
      <c r="N3" s="289" t="s">
        <v>379</v>
      </c>
    </row>
    <row r="4" spans="1:14" ht="15.75">
      <c r="A4" s="311"/>
      <c r="B4" s="312"/>
      <c r="C4" s="312"/>
      <c r="D4" s="312"/>
      <c r="E4" s="312"/>
      <c r="F4" s="312"/>
      <c r="G4" s="312"/>
      <c r="H4" s="312"/>
      <c r="I4" s="312"/>
      <c r="N4" s="302"/>
    </row>
    <row r="5" spans="13:14" s="303" customFormat="1" ht="15.75">
      <c r="M5" s="301"/>
      <c r="N5" s="109" t="s">
        <v>38</v>
      </c>
    </row>
    <row r="6" spans="13:14" s="303" customFormat="1" ht="15.75">
      <c r="M6" s="301"/>
      <c r="N6" s="109" t="s">
        <v>647</v>
      </c>
    </row>
    <row r="7" spans="13:14" s="303" customFormat="1" ht="15.75">
      <c r="M7" s="301"/>
      <c r="N7" s="109"/>
    </row>
    <row r="8" spans="13:14" s="303" customFormat="1" ht="15.75">
      <c r="M8" s="301"/>
      <c r="N8" s="109" t="s">
        <v>648</v>
      </c>
    </row>
    <row r="9" spans="13:14" s="303" customFormat="1" ht="15.75">
      <c r="M9" s="301"/>
      <c r="N9" s="109" t="s">
        <v>795</v>
      </c>
    </row>
    <row r="10" spans="13:14" s="303" customFormat="1" ht="15.75">
      <c r="M10" s="301"/>
      <c r="N10" s="109" t="s">
        <v>42</v>
      </c>
    </row>
    <row r="11" spans="1:14" ht="33" customHeight="1">
      <c r="A11" s="1015" t="s">
        <v>790</v>
      </c>
      <c r="B11" s="1016"/>
      <c r="C11" s="1016"/>
      <c r="D11" s="1016"/>
      <c r="E11" s="1016"/>
      <c r="F11" s="1016"/>
      <c r="G11" s="1016"/>
      <c r="H11" s="1016"/>
      <c r="I11" s="1016"/>
      <c r="J11" s="1016"/>
      <c r="K11" s="1016"/>
      <c r="L11" s="1016"/>
      <c r="M11" s="1016"/>
      <c r="N11" s="1016"/>
    </row>
    <row r="12" spans="1:14" ht="38.25" customHeight="1">
      <c r="A12" s="1017" t="s">
        <v>657</v>
      </c>
      <c r="B12" s="1017"/>
      <c r="C12" s="1017"/>
      <c r="D12" s="1017"/>
      <c r="E12" s="1017"/>
      <c r="F12" s="1017"/>
      <c r="G12" s="1017"/>
      <c r="H12" s="1017"/>
      <c r="I12" s="1017"/>
      <c r="J12" s="1017"/>
      <c r="K12" s="1017"/>
      <c r="L12" s="1017"/>
      <c r="M12" s="1017"/>
      <c r="N12" s="1017"/>
    </row>
    <row r="13" spans="1:9" ht="15.75" customHeight="1">
      <c r="A13" s="1018" t="s">
        <v>796</v>
      </c>
      <c r="B13" s="1018"/>
      <c r="C13" s="1018"/>
      <c r="D13" s="1018"/>
      <c r="E13" s="1018"/>
      <c r="F13" s="1018"/>
      <c r="G13" s="1018"/>
      <c r="H13" s="1018"/>
      <c r="I13" s="1018"/>
    </row>
    <row r="14" spans="1:9" ht="15.75">
      <c r="A14" s="312"/>
      <c r="B14" s="312"/>
      <c r="C14" s="312"/>
      <c r="D14" s="312"/>
      <c r="E14" s="312"/>
      <c r="F14" s="312"/>
      <c r="G14" s="312"/>
      <c r="H14" s="312"/>
      <c r="I14" s="312"/>
    </row>
    <row r="15" spans="1:9" ht="16.5" customHeight="1" thickBot="1">
      <c r="A15" s="1019" t="s">
        <v>797</v>
      </c>
      <c r="B15" s="1019"/>
      <c r="C15" s="1020"/>
      <c r="D15" s="1020"/>
      <c r="E15" s="1020"/>
      <c r="F15" s="1020"/>
      <c r="G15" s="1020"/>
      <c r="H15" s="1020"/>
      <c r="I15" s="1020"/>
    </row>
    <row r="16" spans="1:14" ht="30.75" customHeight="1">
      <c r="A16" s="1021" t="s">
        <v>487</v>
      </c>
      <c r="B16" s="1023" t="s">
        <v>488</v>
      </c>
      <c r="C16" s="1023" t="s">
        <v>489</v>
      </c>
      <c r="D16" s="1023"/>
      <c r="E16" s="1023"/>
      <c r="F16" s="1023"/>
      <c r="G16" s="1023" t="s">
        <v>490</v>
      </c>
      <c r="H16" s="1023" t="s">
        <v>491</v>
      </c>
      <c r="I16" s="1025" t="s">
        <v>492</v>
      </c>
      <c r="J16" s="1034" t="s">
        <v>493</v>
      </c>
      <c r="K16" s="1035"/>
      <c r="L16" s="1035"/>
      <c r="M16" s="1035"/>
      <c r="N16" s="1036"/>
    </row>
    <row r="17" spans="1:14" ht="15.75">
      <c r="A17" s="1022"/>
      <c r="B17" s="1003"/>
      <c r="C17" s="1003" t="s">
        <v>494</v>
      </c>
      <c r="D17" s="1003"/>
      <c r="E17" s="1003" t="s">
        <v>495</v>
      </c>
      <c r="F17" s="1003"/>
      <c r="G17" s="1003"/>
      <c r="H17" s="1003"/>
      <c r="I17" s="1026"/>
      <c r="J17" s="1037"/>
      <c r="K17" s="1038"/>
      <c r="L17" s="1038"/>
      <c r="M17" s="1038"/>
      <c r="N17" s="1039"/>
    </row>
    <row r="18" spans="1:14" ht="15.75">
      <c r="A18" s="1022"/>
      <c r="B18" s="1003"/>
      <c r="C18" s="1046" t="s">
        <v>496</v>
      </c>
      <c r="D18" s="1046" t="s">
        <v>497</v>
      </c>
      <c r="E18" s="1046" t="s">
        <v>496</v>
      </c>
      <c r="F18" s="1046" t="s">
        <v>497</v>
      </c>
      <c r="G18" s="1003"/>
      <c r="H18" s="1003"/>
      <c r="I18" s="1026"/>
      <c r="J18" s="1040"/>
      <c r="K18" s="1041"/>
      <c r="L18" s="1041"/>
      <c r="M18" s="1041"/>
      <c r="N18" s="1042"/>
    </row>
    <row r="19" spans="1:14" ht="15.75">
      <c r="A19" s="1022"/>
      <c r="B19" s="1024"/>
      <c r="C19" s="1047"/>
      <c r="D19" s="1047"/>
      <c r="E19" s="1047"/>
      <c r="F19" s="1047"/>
      <c r="G19" s="1003"/>
      <c r="H19" s="1003"/>
      <c r="I19" s="1026"/>
      <c r="J19" s="1040"/>
      <c r="K19" s="1041"/>
      <c r="L19" s="1041"/>
      <c r="M19" s="1041"/>
      <c r="N19" s="1042"/>
    </row>
    <row r="20" spans="1:14" ht="15.75">
      <c r="A20" s="1022"/>
      <c r="B20" s="1003"/>
      <c r="C20" s="1048"/>
      <c r="D20" s="1048"/>
      <c r="E20" s="1048"/>
      <c r="F20" s="1048"/>
      <c r="G20" s="1003"/>
      <c r="H20" s="1003"/>
      <c r="I20" s="1026"/>
      <c r="J20" s="1043"/>
      <c r="K20" s="1044"/>
      <c r="L20" s="1044"/>
      <c r="M20" s="1044"/>
      <c r="N20" s="1045"/>
    </row>
    <row r="21" spans="1:14" ht="16.5" thickBot="1">
      <c r="A21" s="313">
        <v>1</v>
      </c>
      <c r="B21" s="314">
        <v>2</v>
      </c>
      <c r="C21" s="314">
        <v>3</v>
      </c>
      <c r="D21" s="314">
        <v>4</v>
      </c>
      <c r="E21" s="314">
        <v>5</v>
      </c>
      <c r="F21" s="314">
        <v>6</v>
      </c>
      <c r="G21" s="314">
        <v>8</v>
      </c>
      <c r="H21" s="314">
        <v>9</v>
      </c>
      <c r="I21" s="314">
        <v>10</v>
      </c>
      <c r="J21" s="1027">
        <v>11</v>
      </c>
      <c r="K21" s="1028"/>
      <c r="L21" s="1028"/>
      <c r="M21" s="1028"/>
      <c r="N21" s="1029"/>
    </row>
    <row r="22" spans="1:14" ht="15.75">
      <c r="A22" s="552" t="s">
        <v>498</v>
      </c>
      <c r="B22" s="553" t="s">
        <v>499</v>
      </c>
      <c r="C22" s="554">
        <v>41640</v>
      </c>
      <c r="D22" s="554">
        <v>41699</v>
      </c>
      <c r="E22" s="555">
        <v>41640</v>
      </c>
      <c r="F22" s="555">
        <v>41699</v>
      </c>
      <c r="G22" s="556">
        <v>100</v>
      </c>
      <c r="H22" s="556">
        <v>100</v>
      </c>
      <c r="I22" s="556"/>
      <c r="J22" s="557"/>
      <c r="K22" s="558"/>
      <c r="L22" s="558"/>
      <c r="M22" s="558"/>
      <c r="N22" s="559"/>
    </row>
    <row r="23" spans="1:14" ht="27.75" customHeight="1">
      <c r="A23" s="316" t="s">
        <v>525</v>
      </c>
      <c r="B23" s="508" t="s">
        <v>526</v>
      </c>
      <c r="C23" s="503">
        <v>41699</v>
      </c>
      <c r="D23" s="503">
        <v>41760</v>
      </c>
      <c r="E23" s="455">
        <v>41699</v>
      </c>
      <c r="F23" s="455">
        <v>41760</v>
      </c>
      <c r="G23" s="509">
        <v>100</v>
      </c>
      <c r="H23" s="509">
        <v>100</v>
      </c>
      <c r="I23" s="509"/>
      <c r="J23" s="510"/>
      <c r="K23" s="511"/>
      <c r="L23" s="511"/>
      <c r="M23" s="511"/>
      <c r="N23" s="512"/>
    </row>
    <row r="24" spans="1:17" ht="30" customHeight="1">
      <c r="A24" s="316" t="s">
        <v>500</v>
      </c>
      <c r="B24" s="508" t="s">
        <v>501</v>
      </c>
      <c r="C24" s="503">
        <v>41760</v>
      </c>
      <c r="D24" s="503">
        <v>41791</v>
      </c>
      <c r="E24" s="455">
        <v>41760</v>
      </c>
      <c r="F24" s="455">
        <v>41974</v>
      </c>
      <c r="G24" s="509">
        <v>100</v>
      </c>
      <c r="H24" s="509">
        <v>100</v>
      </c>
      <c r="I24" s="509"/>
      <c r="J24" s="1051"/>
      <c r="K24" s="1052"/>
      <c r="L24" s="1052"/>
      <c r="M24" s="1052"/>
      <c r="N24" s="1053"/>
      <c r="P24" s="513"/>
      <c r="Q24" s="513"/>
    </row>
    <row r="25" spans="1:17" ht="20.25" customHeight="1">
      <c r="A25" s="316" t="s">
        <v>502</v>
      </c>
      <c r="B25" s="508" t="s">
        <v>503</v>
      </c>
      <c r="C25" s="503">
        <v>41791</v>
      </c>
      <c r="D25" s="503">
        <v>41913</v>
      </c>
      <c r="E25" s="455">
        <v>41791</v>
      </c>
      <c r="F25" s="455">
        <v>41974</v>
      </c>
      <c r="G25" s="509">
        <v>100</v>
      </c>
      <c r="H25" s="509">
        <v>100</v>
      </c>
      <c r="I25" s="509"/>
      <c r="J25" s="510"/>
      <c r="K25" s="511"/>
      <c r="L25" s="511"/>
      <c r="M25" s="511"/>
      <c r="N25" s="512"/>
      <c r="P25" s="514"/>
      <c r="Q25" s="515"/>
    </row>
    <row r="26" spans="1:17" ht="38.25">
      <c r="A26" s="316" t="s">
        <v>506</v>
      </c>
      <c r="B26" s="508" t="s">
        <v>507</v>
      </c>
      <c r="C26" s="503">
        <v>41913</v>
      </c>
      <c r="D26" s="503">
        <v>41944</v>
      </c>
      <c r="E26" s="455">
        <v>41883</v>
      </c>
      <c r="F26" s="455">
        <v>41944</v>
      </c>
      <c r="G26" s="509">
        <v>100</v>
      </c>
      <c r="H26" s="509">
        <v>100</v>
      </c>
      <c r="I26" s="509"/>
      <c r="J26" s="510"/>
      <c r="K26" s="511"/>
      <c r="L26" s="511"/>
      <c r="M26" s="511"/>
      <c r="N26" s="512"/>
      <c r="P26" s="515"/>
      <c r="Q26" s="515"/>
    </row>
    <row r="27" spans="1:17" ht="38.25">
      <c r="A27" s="316" t="s">
        <v>508</v>
      </c>
      <c r="B27" s="508" t="s">
        <v>509</v>
      </c>
      <c r="C27" s="503">
        <v>41944</v>
      </c>
      <c r="D27" s="503">
        <v>42064</v>
      </c>
      <c r="E27" s="455">
        <v>41883</v>
      </c>
      <c r="F27" s="455">
        <v>41974</v>
      </c>
      <c r="G27" s="509">
        <v>100</v>
      </c>
      <c r="H27" s="509">
        <v>100</v>
      </c>
      <c r="I27" s="509"/>
      <c r="J27" s="510"/>
      <c r="K27" s="511"/>
      <c r="L27" s="511"/>
      <c r="M27" s="511"/>
      <c r="N27" s="512"/>
      <c r="P27" s="315"/>
      <c r="Q27" s="315"/>
    </row>
    <row r="28" spans="1:17" ht="25.5">
      <c r="A28" s="316" t="s">
        <v>510</v>
      </c>
      <c r="B28" s="508" t="s">
        <v>511</v>
      </c>
      <c r="C28" s="503">
        <v>42064</v>
      </c>
      <c r="D28" s="503">
        <v>42156</v>
      </c>
      <c r="E28" s="455">
        <v>41944</v>
      </c>
      <c r="F28" s="455">
        <v>41974</v>
      </c>
      <c r="G28" s="509">
        <v>100</v>
      </c>
      <c r="H28" s="509">
        <v>100</v>
      </c>
      <c r="I28" s="509"/>
      <c r="J28" s="510"/>
      <c r="K28" s="511"/>
      <c r="L28" s="511"/>
      <c r="M28" s="511"/>
      <c r="N28" s="512"/>
      <c r="P28" s="515"/>
      <c r="Q28" s="515"/>
    </row>
    <row r="29" spans="1:17" ht="15.75">
      <c r="A29" s="316" t="s">
        <v>512</v>
      </c>
      <c r="B29" s="508" t="s">
        <v>513</v>
      </c>
      <c r="C29" s="503">
        <v>42401</v>
      </c>
      <c r="D29" s="503">
        <v>42583</v>
      </c>
      <c r="E29" s="455">
        <v>41944</v>
      </c>
      <c r="F29" s="455">
        <v>42339</v>
      </c>
      <c r="G29" s="509">
        <v>100</v>
      </c>
      <c r="H29" s="509">
        <v>100</v>
      </c>
      <c r="I29" s="509"/>
      <c r="J29" s="510"/>
      <c r="K29" s="511"/>
      <c r="L29" s="511"/>
      <c r="M29" s="511"/>
      <c r="N29" s="512"/>
      <c r="P29" s="513"/>
      <c r="Q29" s="513"/>
    </row>
    <row r="30" spans="1:17" ht="67.5" customHeight="1">
      <c r="A30" s="316" t="s">
        <v>527</v>
      </c>
      <c r="B30" s="516" t="s">
        <v>528</v>
      </c>
      <c r="C30" s="503">
        <v>42491</v>
      </c>
      <c r="D30" s="503">
        <v>43009</v>
      </c>
      <c r="E30" s="455">
        <v>42339</v>
      </c>
      <c r="F30" s="455">
        <v>42614</v>
      </c>
      <c r="G30" s="509">
        <v>100</v>
      </c>
      <c r="H30" s="509">
        <v>100</v>
      </c>
      <c r="I30" s="509"/>
      <c r="J30" s="510"/>
      <c r="K30" s="511"/>
      <c r="L30" s="511"/>
      <c r="M30" s="511"/>
      <c r="N30" s="512"/>
      <c r="P30" s="513"/>
      <c r="Q30" s="513"/>
    </row>
    <row r="31" spans="1:17" ht="27" customHeight="1">
      <c r="A31" s="316" t="s">
        <v>632</v>
      </c>
      <c r="B31" s="516" t="s">
        <v>633</v>
      </c>
      <c r="C31" s="503">
        <v>43009</v>
      </c>
      <c r="D31" s="503">
        <v>43132</v>
      </c>
      <c r="E31" s="455">
        <v>42614</v>
      </c>
      <c r="F31" s="455">
        <v>42614</v>
      </c>
      <c r="G31" s="509">
        <v>100</v>
      </c>
      <c r="H31" s="509">
        <v>100</v>
      </c>
      <c r="I31" s="509"/>
      <c r="J31" s="510"/>
      <c r="K31" s="511"/>
      <c r="L31" s="511"/>
      <c r="M31" s="511"/>
      <c r="N31" s="512"/>
      <c r="P31" s="513"/>
      <c r="Q31" s="513"/>
    </row>
    <row r="32" spans="1:17" ht="25.5">
      <c r="A32" s="316" t="s">
        <v>514</v>
      </c>
      <c r="B32" s="508" t="s">
        <v>515</v>
      </c>
      <c r="C32" s="503">
        <v>42552</v>
      </c>
      <c r="D32" s="503">
        <v>43009</v>
      </c>
      <c r="E32" s="455">
        <v>42614</v>
      </c>
      <c r="F32" s="455"/>
      <c r="G32" s="509"/>
      <c r="H32" s="509"/>
      <c r="I32" s="509"/>
      <c r="J32" s="510"/>
      <c r="K32" s="511"/>
      <c r="L32" s="511"/>
      <c r="M32" s="511"/>
      <c r="N32" s="512"/>
      <c r="P32" s="513"/>
      <c r="Q32" s="513"/>
    </row>
    <row r="33" spans="1:17" ht="25.5">
      <c r="A33" s="316" t="s">
        <v>516</v>
      </c>
      <c r="B33" s="508" t="s">
        <v>517</v>
      </c>
      <c r="C33" s="503">
        <v>42583</v>
      </c>
      <c r="D33" s="503">
        <v>43009</v>
      </c>
      <c r="E33" s="455">
        <v>42614</v>
      </c>
      <c r="F33" s="455"/>
      <c r="G33" s="509"/>
      <c r="H33" s="509"/>
      <c r="I33" s="509"/>
      <c r="J33" s="510"/>
      <c r="K33" s="511"/>
      <c r="L33" s="511"/>
      <c r="M33" s="511"/>
      <c r="N33" s="512"/>
      <c r="P33" s="517"/>
      <c r="Q33" s="517"/>
    </row>
    <row r="34" spans="1:17" ht="38.25">
      <c r="A34" s="316" t="s">
        <v>518</v>
      </c>
      <c r="B34" s="508" t="s">
        <v>519</v>
      </c>
      <c r="C34" s="503">
        <v>43009</v>
      </c>
      <c r="D34" s="503">
        <v>43132</v>
      </c>
      <c r="E34" s="456"/>
      <c r="F34" s="456"/>
      <c r="G34" s="509"/>
      <c r="H34" s="509"/>
      <c r="I34" s="509"/>
      <c r="J34" s="510"/>
      <c r="K34" s="511"/>
      <c r="L34" s="511"/>
      <c r="M34" s="511"/>
      <c r="N34" s="512"/>
      <c r="P34" s="513"/>
      <c r="Q34" s="513"/>
    </row>
    <row r="35" spans="1:17" ht="15.75">
      <c r="A35" s="316" t="s">
        <v>520</v>
      </c>
      <c r="B35" s="508" t="s">
        <v>521</v>
      </c>
      <c r="C35" s="503">
        <v>43132</v>
      </c>
      <c r="D35" s="503">
        <v>43191</v>
      </c>
      <c r="E35" s="456"/>
      <c r="F35" s="456"/>
      <c r="G35" s="509"/>
      <c r="H35" s="509"/>
      <c r="I35" s="509"/>
      <c r="J35" s="510"/>
      <c r="K35" s="511"/>
      <c r="L35" s="511"/>
      <c r="M35" s="511"/>
      <c r="N35" s="512"/>
      <c r="P35" s="513"/>
      <c r="Q35" s="513"/>
    </row>
    <row r="36" spans="1:17" ht="42.75" customHeight="1">
      <c r="A36" s="316" t="s">
        <v>634</v>
      </c>
      <c r="B36" s="516" t="s">
        <v>635</v>
      </c>
      <c r="C36" s="503">
        <v>43132</v>
      </c>
      <c r="D36" s="503">
        <v>43191</v>
      </c>
      <c r="E36" s="518"/>
      <c r="F36" s="518"/>
      <c r="G36" s="519"/>
      <c r="H36" s="519"/>
      <c r="I36" s="519"/>
      <c r="J36" s="520"/>
      <c r="K36" s="521"/>
      <c r="L36" s="521"/>
      <c r="M36" s="521"/>
      <c r="N36" s="522"/>
      <c r="P36" s="513"/>
      <c r="Q36" s="513"/>
    </row>
    <row r="37" spans="1:17" ht="79.5" customHeight="1" thickBot="1">
      <c r="A37" s="319" t="s">
        <v>522</v>
      </c>
      <c r="B37" s="560" t="s">
        <v>523</v>
      </c>
      <c r="C37" s="561">
        <v>43191</v>
      </c>
      <c r="D37" s="561">
        <v>43191</v>
      </c>
      <c r="E37" s="524"/>
      <c r="F37" s="524"/>
      <c r="G37" s="525"/>
      <c r="H37" s="525"/>
      <c r="I37" s="525"/>
      <c r="J37" s="526"/>
      <c r="K37" s="527"/>
      <c r="L37" s="527"/>
      <c r="M37" s="527"/>
      <c r="N37" s="528"/>
      <c r="P37" s="513"/>
      <c r="Q37" s="513"/>
    </row>
    <row r="38" ht="15.75">
      <c r="B38" s="321"/>
    </row>
    <row r="39" spans="1:2" ht="15.75">
      <c r="A39" s="108" t="s">
        <v>524</v>
      </c>
      <c r="B39" s="321"/>
    </row>
    <row r="41" spans="3:9" ht="15.75">
      <c r="C41" s="1033" t="str">
        <f>'11.1 (ГСМ склад с.Вывенка)'!C36:I36</f>
        <v>Начальник ПТО                                                                             С. А. Апекин</v>
      </c>
      <c r="D41" s="1033"/>
      <c r="E41" s="1033"/>
      <c r="F41" s="1033"/>
      <c r="G41" s="1033"/>
      <c r="H41" s="1033"/>
      <c r="I41" s="1033"/>
    </row>
    <row r="43" spans="1:14" ht="15.75">
      <c r="A43" s="427"/>
      <c r="B43" s="427"/>
      <c r="C43" s="427"/>
      <c r="D43" s="427"/>
      <c r="E43" s="427"/>
      <c r="F43" s="427"/>
      <c r="G43" s="427"/>
      <c r="H43" s="427"/>
      <c r="I43" s="427"/>
      <c r="J43" s="427"/>
      <c r="K43" s="427"/>
      <c r="L43" s="427"/>
      <c r="M43" s="427"/>
      <c r="N43" s="427"/>
    </row>
    <row r="44" spans="1:14" ht="15.75">
      <c r="A44" s="427"/>
      <c r="B44" s="427"/>
      <c r="C44" s="427"/>
      <c r="D44" s="427"/>
      <c r="E44" s="427"/>
      <c r="F44" s="427"/>
      <c r="G44" s="427"/>
      <c r="H44" s="427"/>
      <c r="I44" s="427"/>
      <c r="J44" s="427"/>
      <c r="K44" s="427"/>
      <c r="L44" s="427"/>
      <c r="M44" s="427"/>
      <c r="N44" s="427"/>
    </row>
    <row r="45" spans="1:14" ht="15.75">
      <c r="A45" s="427"/>
      <c r="B45" s="427"/>
      <c r="C45" s="427"/>
      <c r="D45" s="427"/>
      <c r="E45" s="427"/>
      <c r="F45" s="427"/>
      <c r="G45" s="427"/>
      <c r="H45" s="427"/>
      <c r="I45" s="427"/>
      <c r="J45" s="427"/>
      <c r="K45" s="427"/>
      <c r="L45" s="427"/>
      <c r="M45" s="427"/>
      <c r="N45" s="427"/>
    </row>
    <row r="46" spans="1:14" ht="15.75">
      <c r="A46" s="427"/>
      <c r="B46" s="427"/>
      <c r="C46" s="427"/>
      <c r="D46" s="427"/>
      <c r="E46" s="427"/>
      <c r="F46" s="427"/>
      <c r="G46" s="427"/>
      <c r="H46" s="427"/>
      <c r="I46" s="427"/>
      <c r="J46" s="427"/>
      <c r="K46" s="427"/>
      <c r="L46" s="427"/>
      <c r="M46" s="427"/>
      <c r="N46" s="427"/>
    </row>
    <row r="47" spans="1:14" ht="15.75">
      <c r="A47" s="427"/>
      <c r="B47" s="427"/>
      <c r="C47" s="427"/>
      <c r="D47" s="427"/>
      <c r="E47" s="427"/>
      <c r="F47" s="427"/>
      <c r="G47" s="427"/>
      <c r="H47" s="427"/>
      <c r="I47" s="427"/>
      <c r="J47" s="427"/>
      <c r="K47" s="427"/>
      <c r="L47" s="427"/>
      <c r="M47" s="427"/>
      <c r="N47" s="427"/>
    </row>
    <row r="48" spans="1:14" ht="15.75">
      <c r="A48" s="427"/>
      <c r="B48" s="427"/>
      <c r="C48" s="427"/>
      <c r="D48" s="427"/>
      <c r="E48" s="427"/>
      <c r="F48" s="427"/>
      <c r="G48" s="427"/>
      <c r="H48" s="427"/>
      <c r="I48" s="427"/>
      <c r="J48" s="427"/>
      <c r="K48" s="427"/>
      <c r="L48" s="427"/>
      <c r="M48" s="427"/>
      <c r="N48" s="427"/>
    </row>
    <row r="49" spans="1:14" ht="15.75">
      <c r="A49" s="427"/>
      <c r="B49" s="427"/>
      <c r="C49" s="427"/>
      <c r="D49" s="427"/>
      <c r="E49" s="427"/>
      <c r="F49" s="427"/>
      <c r="G49" s="427"/>
      <c r="H49" s="427"/>
      <c r="I49" s="427"/>
      <c r="J49" s="427"/>
      <c r="K49" s="427"/>
      <c r="L49" s="427"/>
      <c r="M49" s="427"/>
      <c r="N49" s="427"/>
    </row>
    <row r="50" spans="1:14" ht="15.75">
      <c r="A50" s="427"/>
      <c r="B50" s="427"/>
      <c r="C50" s="427"/>
      <c r="D50" s="427"/>
      <c r="E50" s="427"/>
      <c r="F50" s="427"/>
      <c r="G50" s="427"/>
      <c r="H50" s="427"/>
      <c r="I50" s="427"/>
      <c r="J50" s="427"/>
      <c r="K50" s="427"/>
      <c r="L50" s="427"/>
      <c r="M50" s="427"/>
      <c r="N50" s="427"/>
    </row>
    <row r="51" spans="1:14" ht="15.75">
      <c r="A51" s="427"/>
      <c r="B51" s="427"/>
      <c r="C51" s="427"/>
      <c r="D51" s="427"/>
      <c r="E51" s="427"/>
      <c r="F51" s="427"/>
      <c r="G51" s="427"/>
      <c r="H51" s="427"/>
      <c r="I51" s="427"/>
      <c r="J51" s="427"/>
      <c r="K51" s="427"/>
      <c r="L51" s="427"/>
      <c r="M51" s="427"/>
      <c r="N51" s="427"/>
    </row>
    <row r="52" spans="1:14" ht="15.75">
      <c r="A52" s="427"/>
      <c r="B52" s="427"/>
      <c r="C52" s="427"/>
      <c r="D52" s="427"/>
      <c r="E52" s="427"/>
      <c r="F52" s="427"/>
      <c r="G52" s="427"/>
      <c r="H52" s="427"/>
      <c r="I52" s="427"/>
      <c r="J52" s="427"/>
      <c r="K52" s="427"/>
      <c r="L52" s="427"/>
      <c r="M52" s="427"/>
      <c r="N52" s="427"/>
    </row>
    <row r="53" spans="1:14" ht="15.75">
      <c r="A53" s="427"/>
      <c r="B53" s="427"/>
      <c r="C53" s="427"/>
      <c r="D53" s="427"/>
      <c r="E53" s="427"/>
      <c r="F53" s="427"/>
      <c r="G53" s="427"/>
      <c r="H53" s="427"/>
      <c r="I53" s="427"/>
      <c r="J53" s="427"/>
      <c r="K53" s="427"/>
      <c r="L53" s="427"/>
      <c r="M53" s="427"/>
      <c r="N53" s="427"/>
    </row>
    <row r="54" spans="1:14" ht="15.75">
      <c r="A54" s="427"/>
      <c r="B54" s="427"/>
      <c r="C54" s="427"/>
      <c r="D54" s="427"/>
      <c r="E54" s="427"/>
      <c r="F54" s="427"/>
      <c r="G54" s="427"/>
      <c r="H54" s="427"/>
      <c r="I54" s="427"/>
      <c r="J54" s="427"/>
      <c r="K54" s="427"/>
      <c r="L54" s="427"/>
      <c r="M54" s="427"/>
      <c r="N54" s="427"/>
    </row>
    <row r="55" spans="1:14" ht="15.75">
      <c r="A55" s="427"/>
      <c r="B55" s="427"/>
      <c r="C55" s="427"/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427"/>
    </row>
    <row r="56" spans="1:14" ht="15.75">
      <c r="A56" s="427"/>
      <c r="B56" s="427"/>
      <c r="C56" s="427"/>
      <c r="D56" s="427"/>
      <c r="E56" s="427"/>
      <c r="F56" s="427"/>
      <c r="G56" s="427"/>
      <c r="H56" s="427"/>
      <c r="I56" s="427"/>
      <c r="J56" s="427"/>
      <c r="K56" s="427"/>
      <c r="L56" s="427"/>
      <c r="M56" s="427"/>
      <c r="N56" s="427"/>
    </row>
    <row r="57" spans="1:14" ht="15.75">
      <c r="A57" s="427"/>
      <c r="B57" s="427"/>
      <c r="C57" s="427"/>
      <c r="D57" s="427"/>
      <c r="E57" s="427"/>
      <c r="F57" s="427"/>
      <c r="G57" s="427"/>
      <c r="H57" s="427"/>
      <c r="I57" s="427"/>
      <c r="J57" s="427"/>
      <c r="K57" s="427"/>
      <c r="L57" s="427"/>
      <c r="M57" s="427"/>
      <c r="N57" s="427"/>
    </row>
    <row r="58" spans="1:14" ht="15.75">
      <c r="A58" s="427"/>
      <c r="B58" s="427"/>
      <c r="C58" s="427"/>
      <c r="D58" s="427"/>
      <c r="E58" s="427"/>
      <c r="F58" s="427"/>
      <c r="G58" s="427"/>
      <c r="H58" s="427"/>
      <c r="I58" s="427"/>
      <c r="J58" s="427"/>
      <c r="K58" s="427"/>
      <c r="L58" s="427"/>
      <c r="M58" s="427"/>
      <c r="N58" s="427"/>
    </row>
    <row r="59" spans="1:14" ht="15.75">
      <c r="A59" s="427"/>
      <c r="B59" s="427"/>
      <c r="C59" s="427"/>
      <c r="D59" s="427"/>
      <c r="E59" s="427"/>
      <c r="F59" s="427"/>
      <c r="G59" s="427"/>
      <c r="H59" s="427"/>
      <c r="I59" s="427"/>
      <c r="J59" s="427"/>
      <c r="K59" s="427"/>
      <c r="L59" s="427"/>
      <c r="M59" s="427"/>
      <c r="N59" s="427"/>
    </row>
    <row r="60" spans="1:14" ht="15.75">
      <c r="A60" s="427"/>
      <c r="B60" s="427"/>
      <c r="C60" s="427"/>
      <c r="D60" s="427"/>
      <c r="E60" s="427"/>
      <c r="F60" s="427"/>
      <c r="G60" s="427"/>
      <c r="H60" s="427"/>
      <c r="I60" s="427"/>
      <c r="J60" s="427"/>
      <c r="K60" s="427"/>
      <c r="L60" s="427"/>
      <c r="M60" s="427"/>
      <c r="N60" s="427"/>
    </row>
    <row r="61" spans="1:14" ht="15.75">
      <c r="A61" s="427"/>
      <c r="B61" s="427"/>
      <c r="C61" s="427"/>
      <c r="D61" s="427"/>
      <c r="E61" s="427"/>
      <c r="F61" s="427"/>
      <c r="G61" s="427"/>
      <c r="H61" s="427"/>
      <c r="I61" s="427"/>
      <c r="J61" s="427"/>
      <c r="K61" s="427"/>
      <c r="L61" s="427"/>
      <c r="M61" s="427"/>
      <c r="N61" s="427"/>
    </row>
  </sheetData>
  <sheetProtection/>
  <mergeCells count="20">
    <mergeCell ref="J21:N21"/>
    <mergeCell ref="J24:N24"/>
    <mergeCell ref="C41:I41"/>
    <mergeCell ref="J16:N20"/>
    <mergeCell ref="C17:D17"/>
    <mergeCell ref="E17:F17"/>
    <mergeCell ref="C18:C20"/>
    <mergeCell ref="D18:D20"/>
    <mergeCell ref="E18:E20"/>
    <mergeCell ref="F18:F20"/>
    <mergeCell ref="A11:N11"/>
    <mergeCell ref="A12:N12"/>
    <mergeCell ref="A13:I13"/>
    <mergeCell ref="A15:I15"/>
    <mergeCell ref="A16:A20"/>
    <mergeCell ref="B16:B20"/>
    <mergeCell ref="C16:F16"/>
    <mergeCell ref="G16:G20"/>
    <mergeCell ref="H16:H20"/>
    <mergeCell ref="I16:I20"/>
  </mergeCells>
  <printOptions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1"/>
  <sheetViews>
    <sheetView view="pageBreakPreview" zoomScale="65" zoomScaleNormal="80" zoomScaleSheetLayoutView="65" zoomScalePageLayoutView="0" workbookViewId="0" topLeftCell="A1">
      <selection activeCell="A29" sqref="A29"/>
    </sheetView>
  </sheetViews>
  <sheetFormatPr defaultColWidth="9.00390625" defaultRowHeight="15.75"/>
  <cols>
    <col min="1" max="1" width="13.875" style="108" customWidth="1"/>
    <col min="2" max="2" width="31.75390625" style="311" customWidth="1"/>
    <col min="3" max="6" width="11.75390625" style="311" customWidth="1"/>
    <col min="7" max="8" width="20.00390625" style="311" customWidth="1"/>
    <col min="9" max="9" width="15.625" style="311" customWidth="1"/>
    <col min="10" max="14" width="7.875" style="311" customWidth="1"/>
    <col min="15" max="15" width="9.00390625" style="311" customWidth="1"/>
    <col min="16" max="16" width="13.625" style="108" customWidth="1"/>
    <col min="17" max="16384" width="9.00390625" style="108" customWidth="1"/>
  </cols>
  <sheetData>
    <row r="1" spans="1:14" ht="15.75">
      <c r="A1" s="311"/>
      <c r="B1" s="312"/>
      <c r="C1" s="312"/>
      <c r="D1" s="312"/>
      <c r="E1" s="312"/>
      <c r="F1" s="312"/>
      <c r="G1" s="312"/>
      <c r="H1" s="312"/>
      <c r="I1" s="312"/>
      <c r="N1" s="302" t="s">
        <v>486</v>
      </c>
    </row>
    <row r="2" spans="1:14" ht="15.75">
      <c r="A2" s="311"/>
      <c r="B2" s="312"/>
      <c r="C2" s="312"/>
      <c r="D2" s="312"/>
      <c r="E2" s="312"/>
      <c r="F2" s="312"/>
      <c r="G2" s="312"/>
      <c r="H2" s="312"/>
      <c r="I2" s="312"/>
      <c r="N2" s="302" t="s">
        <v>37</v>
      </c>
    </row>
    <row r="3" spans="1:14" ht="15.75">
      <c r="A3" s="311"/>
      <c r="B3" s="312"/>
      <c r="C3" s="312"/>
      <c r="D3" s="312"/>
      <c r="E3" s="312"/>
      <c r="F3" s="312"/>
      <c r="G3" s="312"/>
      <c r="H3" s="312"/>
      <c r="I3" s="312"/>
      <c r="N3" s="289" t="s">
        <v>379</v>
      </c>
    </row>
    <row r="4" spans="1:14" ht="15.75">
      <c r="A4" s="311"/>
      <c r="B4" s="312"/>
      <c r="C4" s="312"/>
      <c r="D4" s="312"/>
      <c r="E4" s="312"/>
      <c r="F4" s="312"/>
      <c r="G4" s="312"/>
      <c r="H4" s="312"/>
      <c r="I4" s="312"/>
      <c r="N4" s="302"/>
    </row>
    <row r="5" spans="13:14" s="303" customFormat="1" ht="15.75">
      <c r="M5" s="301"/>
      <c r="N5" s="109" t="s">
        <v>38</v>
      </c>
    </row>
    <row r="6" spans="13:14" s="303" customFormat="1" ht="15.75">
      <c r="M6" s="301"/>
      <c r="N6" s="109" t="s">
        <v>647</v>
      </c>
    </row>
    <row r="7" spans="13:14" s="303" customFormat="1" ht="15.75">
      <c r="M7" s="301"/>
      <c r="N7" s="109"/>
    </row>
    <row r="8" spans="13:14" s="303" customFormat="1" ht="15.75">
      <c r="M8" s="301"/>
      <c r="N8" s="109" t="s">
        <v>648</v>
      </c>
    </row>
    <row r="9" spans="13:14" s="303" customFormat="1" ht="15.75">
      <c r="M9" s="301"/>
      <c r="N9" s="109" t="s">
        <v>795</v>
      </c>
    </row>
    <row r="10" spans="13:14" s="303" customFormat="1" ht="15.75">
      <c r="M10" s="301"/>
      <c r="N10" s="109" t="s">
        <v>42</v>
      </c>
    </row>
    <row r="11" spans="1:14" ht="33" customHeight="1">
      <c r="A11" s="1015" t="s">
        <v>790</v>
      </c>
      <c r="B11" s="1016"/>
      <c r="C11" s="1016"/>
      <c r="D11" s="1016"/>
      <c r="E11" s="1016"/>
      <c r="F11" s="1016"/>
      <c r="G11" s="1016"/>
      <c r="H11" s="1016"/>
      <c r="I11" s="1016"/>
      <c r="J11" s="1016"/>
      <c r="K11" s="1016"/>
      <c r="L11" s="1016"/>
      <c r="M11" s="1016"/>
      <c r="N11" s="1016"/>
    </row>
    <row r="12" spans="1:14" ht="38.25" customHeight="1">
      <c r="A12" s="1017" t="s">
        <v>656</v>
      </c>
      <c r="B12" s="1017"/>
      <c r="C12" s="1017"/>
      <c r="D12" s="1017"/>
      <c r="E12" s="1017"/>
      <c r="F12" s="1017"/>
      <c r="G12" s="1017"/>
      <c r="H12" s="1017"/>
      <c r="I12" s="1017"/>
      <c r="J12" s="1017"/>
      <c r="K12" s="1017"/>
      <c r="L12" s="1017"/>
      <c r="M12" s="1017"/>
      <c r="N12" s="1017"/>
    </row>
    <row r="13" spans="1:9" ht="15.75" customHeight="1">
      <c r="A13" s="1018" t="s">
        <v>796</v>
      </c>
      <c r="B13" s="1018"/>
      <c r="C13" s="1018"/>
      <c r="D13" s="1018"/>
      <c r="E13" s="1018"/>
      <c r="F13" s="1018"/>
      <c r="G13" s="1018"/>
      <c r="H13" s="1018"/>
      <c r="I13" s="1018"/>
    </row>
    <row r="14" spans="1:9" ht="15.75">
      <c r="A14" s="312"/>
      <c r="B14" s="312"/>
      <c r="C14" s="312"/>
      <c r="D14" s="312"/>
      <c r="E14" s="312"/>
      <c r="F14" s="312"/>
      <c r="G14" s="312"/>
      <c r="H14" s="312"/>
      <c r="I14" s="312"/>
    </row>
    <row r="15" spans="1:9" ht="16.5" customHeight="1" thickBot="1">
      <c r="A15" s="1019" t="s">
        <v>797</v>
      </c>
      <c r="B15" s="1019"/>
      <c r="C15" s="1020"/>
      <c r="D15" s="1020"/>
      <c r="E15" s="1020"/>
      <c r="F15" s="1020"/>
      <c r="G15" s="1020"/>
      <c r="H15" s="1020"/>
      <c r="I15" s="1020"/>
    </row>
    <row r="16" spans="1:14" ht="30.75" customHeight="1">
      <c r="A16" s="1021" t="s">
        <v>487</v>
      </c>
      <c r="B16" s="1023" t="s">
        <v>488</v>
      </c>
      <c r="C16" s="1023" t="s">
        <v>489</v>
      </c>
      <c r="D16" s="1023"/>
      <c r="E16" s="1023"/>
      <c r="F16" s="1023"/>
      <c r="G16" s="1023" t="s">
        <v>490</v>
      </c>
      <c r="H16" s="1023" t="s">
        <v>491</v>
      </c>
      <c r="I16" s="1025" t="s">
        <v>492</v>
      </c>
      <c r="J16" s="1034" t="s">
        <v>493</v>
      </c>
      <c r="K16" s="1035"/>
      <c r="L16" s="1035"/>
      <c r="M16" s="1035"/>
      <c r="N16" s="1036"/>
    </row>
    <row r="17" spans="1:14" ht="15.75">
      <c r="A17" s="1022"/>
      <c r="B17" s="1003"/>
      <c r="C17" s="1003" t="s">
        <v>494</v>
      </c>
      <c r="D17" s="1003"/>
      <c r="E17" s="1003" t="s">
        <v>495</v>
      </c>
      <c r="F17" s="1003"/>
      <c r="G17" s="1003"/>
      <c r="H17" s="1003"/>
      <c r="I17" s="1026"/>
      <c r="J17" s="1037"/>
      <c r="K17" s="1038"/>
      <c r="L17" s="1038"/>
      <c r="M17" s="1038"/>
      <c r="N17" s="1039"/>
    </row>
    <row r="18" spans="1:14" ht="15.75">
      <c r="A18" s="1022"/>
      <c r="B18" s="1003"/>
      <c r="C18" s="1046" t="s">
        <v>496</v>
      </c>
      <c r="D18" s="1046" t="s">
        <v>497</v>
      </c>
      <c r="E18" s="1046" t="s">
        <v>496</v>
      </c>
      <c r="F18" s="1046" t="s">
        <v>497</v>
      </c>
      <c r="G18" s="1003"/>
      <c r="H18" s="1003"/>
      <c r="I18" s="1026"/>
      <c r="J18" s="1040"/>
      <c r="K18" s="1041"/>
      <c r="L18" s="1041"/>
      <c r="M18" s="1041"/>
      <c r="N18" s="1042"/>
    </row>
    <row r="19" spans="1:14" ht="15.75">
      <c r="A19" s="1022"/>
      <c r="B19" s="1024"/>
      <c r="C19" s="1047"/>
      <c r="D19" s="1047"/>
      <c r="E19" s="1047"/>
      <c r="F19" s="1047"/>
      <c r="G19" s="1003"/>
      <c r="H19" s="1003"/>
      <c r="I19" s="1026"/>
      <c r="J19" s="1040"/>
      <c r="K19" s="1041"/>
      <c r="L19" s="1041"/>
      <c r="M19" s="1041"/>
      <c r="N19" s="1042"/>
    </row>
    <row r="20" spans="1:14" ht="15.75">
      <c r="A20" s="1022"/>
      <c r="B20" s="1003"/>
      <c r="C20" s="1048"/>
      <c r="D20" s="1048"/>
      <c r="E20" s="1048"/>
      <c r="F20" s="1048"/>
      <c r="G20" s="1003"/>
      <c r="H20" s="1003"/>
      <c r="I20" s="1026"/>
      <c r="J20" s="1043"/>
      <c r="K20" s="1044"/>
      <c r="L20" s="1044"/>
      <c r="M20" s="1044"/>
      <c r="N20" s="1045"/>
    </row>
    <row r="21" spans="1:14" ht="16.5" thickBot="1">
      <c r="A21" s="313">
        <v>1</v>
      </c>
      <c r="B21" s="314">
        <v>2</v>
      </c>
      <c r="C21" s="314">
        <v>3</v>
      </c>
      <c r="D21" s="314">
        <v>4</v>
      </c>
      <c r="E21" s="314">
        <v>5</v>
      </c>
      <c r="F21" s="314">
        <v>6</v>
      </c>
      <c r="G21" s="314">
        <v>8</v>
      </c>
      <c r="H21" s="314">
        <v>9</v>
      </c>
      <c r="I21" s="314">
        <v>10</v>
      </c>
      <c r="J21" s="1027">
        <v>11</v>
      </c>
      <c r="K21" s="1028"/>
      <c r="L21" s="1028"/>
      <c r="M21" s="1028"/>
      <c r="N21" s="1029"/>
    </row>
    <row r="22" spans="1:14" s="326" customFormat="1" ht="15.75">
      <c r="A22" s="907" t="s">
        <v>498</v>
      </c>
      <c r="B22" s="508" t="s">
        <v>499</v>
      </c>
      <c r="C22" s="908">
        <v>41640</v>
      </c>
      <c r="D22" s="908">
        <v>41699</v>
      </c>
      <c r="E22" s="318">
        <v>41640</v>
      </c>
      <c r="F22" s="318">
        <v>41699</v>
      </c>
      <c r="G22" s="322">
        <v>100</v>
      </c>
      <c r="H22" s="322">
        <v>100</v>
      </c>
      <c r="I22" s="906"/>
      <c r="J22" s="323"/>
      <c r="K22" s="324"/>
      <c r="L22" s="324"/>
      <c r="M22" s="324"/>
      <c r="N22" s="325"/>
    </row>
    <row r="23" spans="1:14" s="326" customFormat="1" ht="30.75" customHeight="1">
      <c r="A23" s="907" t="s">
        <v>525</v>
      </c>
      <c r="B23" s="508" t="s">
        <v>526</v>
      </c>
      <c r="C23" s="908">
        <v>41699</v>
      </c>
      <c r="D23" s="908">
        <v>41730</v>
      </c>
      <c r="E23" s="455">
        <v>42156</v>
      </c>
      <c r="F23" s="455">
        <v>42186</v>
      </c>
      <c r="G23" s="906">
        <v>100</v>
      </c>
      <c r="H23" s="906">
        <v>100</v>
      </c>
      <c r="I23" s="906"/>
      <c r="J23" s="504"/>
      <c r="K23" s="324"/>
      <c r="L23" s="324"/>
      <c r="M23" s="324"/>
      <c r="N23" s="325"/>
    </row>
    <row r="24" spans="1:17" s="326" customFormat="1" ht="15.75">
      <c r="A24" s="907" t="s">
        <v>502</v>
      </c>
      <c r="B24" s="508" t="s">
        <v>503</v>
      </c>
      <c r="C24" s="908">
        <v>42156</v>
      </c>
      <c r="D24" s="908">
        <v>42339</v>
      </c>
      <c r="E24" s="455">
        <v>42125</v>
      </c>
      <c r="F24" s="505">
        <v>42248</v>
      </c>
      <c r="G24" s="906">
        <v>100</v>
      </c>
      <c r="H24" s="906"/>
      <c r="I24" s="906"/>
      <c r="J24" s="504"/>
      <c r="K24" s="324"/>
      <c r="L24" s="324"/>
      <c r="M24" s="324"/>
      <c r="N24" s="325"/>
      <c r="P24" s="327"/>
      <c r="Q24" s="327"/>
    </row>
    <row r="25" spans="1:17" s="326" customFormat="1" ht="28.5" customHeight="1">
      <c r="A25" s="907" t="s">
        <v>506</v>
      </c>
      <c r="B25" s="508" t="s">
        <v>507</v>
      </c>
      <c r="C25" s="908">
        <v>42339</v>
      </c>
      <c r="D25" s="533">
        <v>42491</v>
      </c>
      <c r="E25" s="318"/>
      <c r="F25" s="455"/>
      <c r="G25" s="906"/>
      <c r="H25" s="906"/>
      <c r="I25" s="906"/>
      <c r="J25" s="504"/>
      <c r="K25" s="324"/>
      <c r="L25" s="324"/>
      <c r="M25" s="324"/>
      <c r="N25" s="325"/>
      <c r="P25" s="328"/>
      <c r="Q25" s="328"/>
    </row>
    <row r="26" spans="1:17" s="326" customFormat="1" ht="29.25" customHeight="1">
      <c r="A26" s="907" t="s">
        <v>508</v>
      </c>
      <c r="B26" s="508" t="s">
        <v>813</v>
      </c>
      <c r="C26" s="533">
        <v>42491</v>
      </c>
      <c r="D26" s="533">
        <v>42767</v>
      </c>
      <c r="E26" s="318"/>
      <c r="F26" s="455"/>
      <c r="G26" s="906"/>
      <c r="H26" s="906"/>
      <c r="I26" s="906"/>
      <c r="J26" s="504"/>
      <c r="K26" s="324"/>
      <c r="L26" s="324"/>
      <c r="M26" s="324"/>
      <c r="N26" s="325"/>
      <c r="P26" s="328"/>
      <c r="Q26" s="328"/>
    </row>
    <row r="27" spans="1:18" s="326" customFormat="1" ht="43.5" customHeight="1">
      <c r="A27" s="907" t="s">
        <v>510</v>
      </c>
      <c r="B27" s="508" t="s">
        <v>636</v>
      </c>
      <c r="C27" s="908">
        <v>42339</v>
      </c>
      <c r="D27" s="533">
        <v>42491</v>
      </c>
      <c r="E27" s="318"/>
      <c r="F27" s="318"/>
      <c r="G27" s="322"/>
      <c r="H27" s="322"/>
      <c r="I27" s="906"/>
      <c r="J27" s="323"/>
      <c r="K27" s="324"/>
      <c r="L27" s="324"/>
      <c r="M27" s="324"/>
      <c r="N27" s="325"/>
      <c r="P27" s="1054"/>
      <c r="Q27" s="1054"/>
      <c r="R27" s="1054"/>
    </row>
    <row r="28" spans="1:17" s="326" customFormat="1" ht="15.75">
      <c r="A28" s="907" t="s">
        <v>512</v>
      </c>
      <c r="B28" s="508" t="s">
        <v>513</v>
      </c>
      <c r="C28" s="533">
        <v>42522</v>
      </c>
      <c r="D28" s="533">
        <v>42887</v>
      </c>
      <c r="E28" s="455"/>
      <c r="F28" s="455"/>
      <c r="G28" s="322"/>
      <c r="H28" s="322"/>
      <c r="I28" s="906"/>
      <c r="J28" s="323"/>
      <c r="K28" s="324"/>
      <c r="L28" s="324"/>
      <c r="M28" s="324"/>
      <c r="N28" s="325"/>
      <c r="P28" s="329"/>
      <c r="Q28" s="329"/>
    </row>
    <row r="29" spans="1:17" s="326" customFormat="1" ht="28.5" customHeight="1">
      <c r="A29" s="907" t="s">
        <v>527</v>
      </c>
      <c r="B29" s="516" t="s">
        <v>528</v>
      </c>
      <c r="C29" s="533">
        <v>42887</v>
      </c>
      <c r="D29" s="533">
        <v>43313</v>
      </c>
      <c r="E29" s="455"/>
      <c r="F29" s="455"/>
      <c r="G29" s="322"/>
      <c r="H29" s="322"/>
      <c r="I29" s="906"/>
      <c r="J29" s="323"/>
      <c r="K29" s="324"/>
      <c r="L29" s="324"/>
      <c r="M29" s="324"/>
      <c r="N29" s="325"/>
      <c r="P29" s="905"/>
      <c r="Q29" s="328"/>
    </row>
    <row r="30" spans="1:17" s="326" customFormat="1" ht="25.5">
      <c r="A30" s="907" t="s">
        <v>514</v>
      </c>
      <c r="B30" s="508" t="s">
        <v>515</v>
      </c>
      <c r="C30" s="533">
        <v>43344</v>
      </c>
      <c r="D30" s="533">
        <v>43678</v>
      </c>
      <c r="E30" s="455"/>
      <c r="F30" s="455"/>
      <c r="G30" s="322"/>
      <c r="H30" s="322"/>
      <c r="I30" s="906"/>
      <c r="J30" s="323"/>
      <c r="K30" s="324"/>
      <c r="L30" s="324"/>
      <c r="M30" s="324"/>
      <c r="N30" s="325"/>
      <c r="P30" s="327"/>
      <c r="Q30" s="327"/>
    </row>
    <row r="31" spans="1:17" s="326" customFormat="1" ht="25.5" customHeight="1">
      <c r="A31" s="907" t="s">
        <v>516</v>
      </c>
      <c r="B31" s="508" t="s">
        <v>519</v>
      </c>
      <c r="C31" s="533">
        <v>43678</v>
      </c>
      <c r="D31" s="533">
        <v>43709</v>
      </c>
      <c r="E31" s="455"/>
      <c r="F31" s="455"/>
      <c r="G31" s="322"/>
      <c r="H31" s="322"/>
      <c r="I31" s="906"/>
      <c r="J31" s="323"/>
      <c r="K31" s="324"/>
      <c r="L31" s="324"/>
      <c r="M31" s="324"/>
      <c r="N31" s="325"/>
      <c r="P31" s="327"/>
      <c r="Q31" s="327"/>
    </row>
    <row r="32" spans="1:17" s="326" customFormat="1" ht="76.5">
      <c r="A32" s="907" t="s">
        <v>522</v>
      </c>
      <c r="B32" s="508" t="s">
        <v>523</v>
      </c>
      <c r="C32" s="533">
        <v>43709</v>
      </c>
      <c r="D32" s="533">
        <v>43709</v>
      </c>
      <c r="E32" s="455"/>
      <c r="F32" s="455"/>
      <c r="G32" s="322"/>
      <c r="H32" s="322"/>
      <c r="I32" s="906"/>
      <c r="J32" s="323"/>
      <c r="K32" s="324"/>
      <c r="L32" s="324"/>
      <c r="M32" s="324"/>
      <c r="N32" s="325"/>
      <c r="P32" s="327"/>
      <c r="Q32" s="327"/>
    </row>
    <row r="33" ht="15.75">
      <c r="B33" s="321"/>
    </row>
    <row r="34" spans="1:2" ht="15.75">
      <c r="A34" s="108" t="s">
        <v>524</v>
      </c>
      <c r="B34" s="321"/>
    </row>
    <row r="36" spans="3:9" ht="15.75">
      <c r="C36" s="1033" t="s">
        <v>757</v>
      </c>
      <c r="D36" s="1033"/>
      <c r="E36" s="1033"/>
      <c r="F36" s="1033"/>
      <c r="G36" s="1033"/>
      <c r="H36" s="1033"/>
      <c r="I36" s="1033"/>
    </row>
    <row r="39" spans="1:14" ht="15.75">
      <c r="A39" s="427"/>
      <c r="B39" s="427"/>
      <c r="C39" s="427"/>
      <c r="D39" s="427"/>
      <c r="E39" s="427"/>
      <c r="F39" s="427"/>
      <c r="G39" s="427"/>
      <c r="H39" s="427"/>
      <c r="I39" s="427"/>
      <c r="J39" s="427"/>
      <c r="K39" s="427"/>
      <c r="L39" s="427"/>
      <c r="M39" s="427"/>
      <c r="N39" s="427"/>
    </row>
    <row r="40" spans="1:14" ht="15.75">
      <c r="A40" s="427"/>
      <c r="B40" s="427"/>
      <c r="C40" s="427"/>
      <c r="D40" s="427"/>
      <c r="E40" s="427"/>
      <c r="F40" s="427"/>
      <c r="G40" s="427"/>
      <c r="H40" s="427"/>
      <c r="I40" s="427"/>
      <c r="J40" s="427"/>
      <c r="K40" s="427"/>
      <c r="L40" s="427"/>
      <c r="M40" s="427"/>
      <c r="N40" s="427"/>
    </row>
    <row r="41" spans="1:14" ht="15.75">
      <c r="A41" s="427"/>
      <c r="B41" s="427"/>
      <c r="C41" s="427"/>
      <c r="D41" s="427"/>
      <c r="E41" s="427"/>
      <c r="F41" s="427"/>
      <c r="G41" s="427"/>
      <c r="H41" s="427"/>
      <c r="I41" s="427"/>
      <c r="J41" s="427"/>
      <c r="K41" s="427"/>
      <c r="L41" s="427"/>
      <c r="M41" s="427"/>
      <c r="N41" s="427"/>
    </row>
    <row r="42" spans="1:14" ht="15.75">
      <c r="A42" s="427"/>
      <c r="B42" s="427"/>
      <c r="C42" s="427"/>
      <c r="D42" s="427"/>
      <c r="E42" s="427"/>
      <c r="F42" s="427"/>
      <c r="G42" s="427"/>
      <c r="H42" s="427"/>
      <c r="I42" s="427"/>
      <c r="J42" s="427"/>
      <c r="K42" s="427"/>
      <c r="L42" s="427"/>
      <c r="M42" s="427"/>
      <c r="N42" s="427"/>
    </row>
    <row r="43" spans="1:14" ht="15.75">
      <c r="A43" s="427"/>
      <c r="B43" s="427"/>
      <c r="C43" s="427"/>
      <c r="D43" s="427"/>
      <c r="E43" s="427"/>
      <c r="F43" s="427"/>
      <c r="G43" s="427"/>
      <c r="H43" s="427"/>
      <c r="I43" s="427"/>
      <c r="J43" s="427"/>
      <c r="K43" s="427"/>
      <c r="L43" s="427"/>
      <c r="M43" s="427"/>
      <c r="N43" s="427"/>
    </row>
    <row r="44" spans="1:14" ht="15.75">
      <c r="A44" s="427"/>
      <c r="B44" s="427"/>
      <c r="C44" s="427"/>
      <c r="D44" s="427"/>
      <c r="E44" s="427"/>
      <c r="F44" s="427"/>
      <c r="G44" s="427"/>
      <c r="H44" s="427"/>
      <c r="I44" s="427"/>
      <c r="J44" s="427"/>
      <c r="K44" s="427"/>
      <c r="L44" s="427"/>
      <c r="M44" s="427"/>
      <c r="N44" s="427"/>
    </row>
    <row r="45" spans="1:14" ht="15.75">
      <c r="A45" s="427"/>
      <c r="B45" s="427"/>
      <c r="C45" s="427"/>
      <c r="D45" s="427"/>
      <c r="E45" s="427"/>
      <c r="F45" s="427"/>
      <c r="G45" s="427"/>
      <c r="H45" s="427"/>
      <c r="I45" s="427"/>
      <c r="J45" s="427"/>
      <c r="K45" s="427"/>
      <c r="L45" s="427"/>
      <c r="M45" s="427"/>
      <c r="N45" s="427"/>
    </row>
    <row r="46" spans="1:14" ht="15.75">
      <c r="A46" s="427"/>
      <c r="B46" s="427"/>
      <c r="C46" s="427"/>
      <c r="D46" s="427"/>
      <c r="E46" s="427"/>
      <c r="F46" s="427"/>
      <c r="G46" s="427"/>
      <c r="H46" s="427"/>
      <c r="I46" s="427"/>
      <c r="J46" s="427"/>
      <c r="K46" s="427"/>
      <c r="L46" s="427"/>
      <c r="M46" s="427"/>
      <c r="N46" s="427"/>
    </row>
    <row r="47" spans="1:14" ht="15.75">
      <c r="A47" s="427"/>
      <c r="B47" s="427"/>
      <c r="C47" s="427"/>
      <c r="D47" s="427"/>
      <c r="E47" s="427"/>
      <c r="F47" s="427"/>
      <c r="G47" s="427"/>
      <c r="H47" s="427"/>
      <c r="I47" s="427"/>
      <c r="J47" s="427"/>
      <c r="K47" s="427"/>
      <c r="L47" s="427"/>
      <c r="M47" s="427"/>
      <c r="N47" s="427"/>
    </row>
    <row r="48" spans="1:14" ht="15.75">
      <c r="A48" s="427"/>
      <c r="B48" s="427"/>
      <c r="C48" s="427"/>
      <c r="D48" s="427"/>
      <c r="E48" s="427"/>
      <c r="F48" s="427"/>
      <c r="G48" s="427"/>
      <c r="H48" s="427"/>
      <c r="I48" s="427"/>
      <c r="J48" s="427"/>
      <c r="K48" s="427"/>
      <c r="L48" s="427"/>
      <c r="M48" s="427"/>
      <c r="N48" s="427"/>
    </row>
    <row r="49" spans="1:14" ht="15.75">
      <c r="A49" s="427"/>
      <c r="B49" s="427"/>
      <c r="C49" s="427"/>
      <c r="D49" s="427"/>
      <c r="E49" s="427"/>
      <c r="F49" s="427"/>
      <c r="G49" s="427"/>
      <c r="H49" s="427"/>
      <c r="I49" s="427"/>
      <c r="J49" s="427"/>
      <c r="K49" s="427"/>
      <c r="L49" s="427"/>
      <c r="M49" s="427"/>
      <c r="N49" s="427"/>
    </row>
    <row r="50" spans="1:14" ht="15.75">
      <c r="A50" s="427"/>
      <c r="B50" s="427"/>
      <c r="C50" s="427"/>
      <c r="D50" s="427"/>
      <c r="E50" s="427"/>
      <c r="F50" s="427"/>
      <c r="G50" s="427"/>
      <c r="H50" s="427"/>
      <c r="I50" s="427"/>
      <c r="J50" s="427"/>
      <c r="K50" s="427"/>
      <c r="L50" s="427"/>
      <c r="M50" s="427"/>
      <c r="N50" s="427"/>
    </row>
    <row r="51" spans="1:14" ht="15.75">
      <c r="A51" s="427"/>
      <c r="B51" s="427"/>
      <c r="C51" s="427"/>
      <c r="D51" s="427"/>
      <c r="E51" s="427"/>
      <c r="F51" s="427"/>
      <c r="G51" s="427"/>
      <c r="H51" s="427"/>
      <c r="I51" s="427"/>
      <c r="J51" s="427"/>
      <c r="K51" s="427"/>
      <c r="L51" s="427"/>
      <c r="M51" s="427"/>
      <c r="N51" s="427"/>
    </row>
    <row r="52" spans="1:14" ht="15.75">
      <c r="A52" s="427"/>
      <c r="B52" s="427"/>
      <c r="C52" s="427"/>
      <c r="D52" s="427"/>
      <c r="E52" s="427"/>
      <c r="F52" s="427"/>
      <c r="G52" s="427"/>
      <c r="H52" s="427"/>
      <c r="I52" s="427"/>
      <c r="J52" s="427"/>
      <c r="K52" s="427"/>
      <c r="L52" s="427"/>
      <c r="M52" s="427"/>
      <c r="N52" s="427"/>
    </row>
    <row r="53" spans="1:14" ht="15.75">
      <c r="A53" s="427"/>
      <c r="B53" s="427"/>
      <c r="C53" s="427"/>
      <c r="D53" s="427"/>
      <c r="E53" s="427"/>
      <c r="F53" s="427"/>
      <c r="G53" s="427"/>
      <c r="H53" s="427"/>
      <c r="I53" s="427"/>
      <c r="J53" s="427"/>
      <c r="K53" s="427"/>
      <c r="L53" s="427"/>
      <c r="M53" s="427"/>
      <c r="N53" s="427"/>
    </row>
    <row r="54" spans="1:14" ht="15.75">
      <c r="A54" s="427"/>
      <c r="B54" s="427"/>
      <c r="C54" s="427"/>
      <c r="D54" s="427"/>
      <c r="E54" s="427"/>
      <c r="F54" s="427"/>
      <c r="G54" s="427"/>
      <c r="H54" s="427"/>
      <c r="I54" s="427"/>
      <c r="J54" s="427"/>
      <c r="K54" s="427"/>
      <c r="L54" s="427"/>
      <c r="M54" s="427"/>
      <c r="N54" s="427"/>
    </row>
    <row r="55" spans="1:14" ht="15.75">
      <c r="A55" s="427"/>
      <c r="B55" s="427"/>
      <c r="C55" s="427"/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427"/>
    </row>
    <row r="56" spans="1:9" ht="15.75">
      <c r="A56" s="427"/>
      <c r="B56" s="427"/>
      <c r="C56" s="427"/>
      <c r="D56" s="427"/>
      <c r="E56" s="427"/>
      <c r="F56" s="427"/>
      <c r="G56" s="427"/>
      <c r="H56" s="427"/>
      <c r="I56" s="427"/>
    </row>
    <row r="57" spans="1:9" ht="15.75">
      <c r="A57" s="427"/>
      <c r="B57" s="427"/>
      <c r="C57" s="427"/>
      <c r="D57" s="427"/>
      <c r="E57" s="427"/>
      <c r="F57" s="427"/>
      <c r="G57" s="427"/>
      <c r="H57" s="427"/>
      <c r="I57" s="427"/>
    </row>
    <row r="58" spans="1:9" ht="15.75">
      <c r="A58" s="427"/>
      <c r="B58" s="427"/>
      <c r="C58" s="427"/>
      <c r="D58" s="427"/>
      <c r="E58" s="427"/>
      <c r="F58" s="427"/>
      <c r="G58" s="427"/>
      <c r="H58" s="427"/>
      <c r="I58" s="427"/>
    </row>
    <row r="59" spans="1:9" ht="15.75">
      <c r="A59" s="427"/>
      <c r="B59" s="427"/>
      <c r="C59" s="427"/>
      <c r="D59" s="427"/>
      <c r="E59" s="427"/>
      <c r="F59" s="427"/>
      <c r="G59" s="427"/>
      <c r="H59" s="427"/>
      <c r="I59" s="427"/>
    </row>
    <row r="60" spans="1:9" ht="15.75">
      <c r="A60" s="427"/>
      <c r="B60" s="427"/>
      <c r="C60" s="427"/>
      <c r="D60" s="427"/>
      <c r="E60" s="427"/>
      <c r="F60" s="427"/>
      <c r="G60" s="427"/>
      <c r="H60" s="427"/>
      <c r="I60" s="427"/>
    </row>
    <row r="61" spans="1:9" ht="15.75">
      <c r="A61" s="427"/>
      <c r="B61" s="427"/>
      <c r="C61" s="427"/>
      <c r="D61" s="427"/>
      <c r="E61" s="427"/>
      <c r="F61" s="427"/>
      <c r="G61" s="427"/>
      <c r="H61" s="427"/>
      <c r="I61" s="427"/>
    </row>
  </sheetData>
  <sheetProtection/>
  <mergeCells count="20">
    <mergeCell ref="A11:N11"/>
    <mergeCell ref="A12:N12"/>
    <mergeCell ref="A13:I13"/>
    <mergeCell ref="A15:I15"/>
    <mergeCell ref="A16:A20"/>
    <mergeCell ref="B16:B20"/>
    <mergeCell ref="C16:F16"/>
    <mergeCell ref="G16:G20"/>
    <mergeCell ref="H16:H20"/>
    <mergeCell ref="I16:I20"/>
    <mergeCell ref="J21:N21"/>
    <mergeCell ref="P27:R27"/>
    <mergeCell ref="C36:I36"/>
    <mergeCell ref="J16:N20"/>
    <mergeCell ref="C17:D17"/>
    <mergeCell ref="E17:F17"/>
    <mergeCell ref="C18:C20"/>
    <mergeCell ref="D18:D20"/>
    <mergeCell ref="E18:E20"/>
    <mergeCell ref="F18:F20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53"/>
  <sheetViews>
    <sheetView view="pageBreakPreview" zoomScale="65" zoomScaleNormal="80" zoomScaleSheetLayoutView="65" zoomScalePageLayoutView="0" workbookViewId="0" topLeftCell="A8">
      <selection activeCell="A32" sqref="A32"/>
    </sheetView>
  </sheetViews>
  <sheetFormatPr defaultColWidth="9.00390625" defaultRowHeight="15.75"/>
  <cols>
    <col min="1" max="1" width="13.875" style="108" customWidth="1"/>
    <col min="2" max="2" width="31.75390625" style="311" customWidth="1"/>
    <col min="3" max="6" width="11.75390625" style="311" customWidth="1"/>
    <col min="7" max="8" width="20.00390625" style="311" customWidth="1"/>
    <col min="9" max="9" width="15.625" style="311" customWidth="1"/>
    <col min="10" max="14" width="7.875" style="311" customWidth="1"/>
    <col min="15" max="15" width="9.00390625" style="311" customWidth="1"/>
    <col min="16" max="16384" width="9.00390625" style="108" customWidth="1"/>
  </cols>
  <sheetData>
    <row r="1" spans="1:14" ht="15.75">
      <c r="A1" s="311"/>
      <c r="B1" s="312"/>
      <c r="C1" s="312"/>
      <c r="D1" s="312"/>
      <c r="E1" s="312"/>
      <c r="F1" s="312"/>
      <c r="G1" s="312"/>
      <c r="H1" s="312"/>
      <c r="I1" s="312"/>
      <c r="N1" s="302" t="s">
        <v>486</v>
      </c>
    </row>
    <row r="2" spans="1:14" ht="15.75">
      <c r="A2" s="311"/>
      <c r="B2" s="312"/>
      <c r="C2" s="312"/>
      <c r="D2" s="312"/>
      <c r="E2" s="312"/>
      <c r="F2" s="312"/>
      <c r="G2" s="312"/>
      <c r="H2" s="312"/>
      <c r="I2" s="312"/>
      <c r="N2" s="302" t="s">
        <v>37</v>
      </c>
    </row>
    <row r="3" spans="1:14" ht="15.75">
      <c r="A3" s="311"/>
      <c r="B3" s="312"/>
      <c r="C3" s="312"/>
      <c r="D3" s="312"/>
      <c r="E3" s="312"/>
      <c r="F3" s="312"/>
      <c r="G3" s="312"/>
      <c r="H3" s="312"/>
      <c r="I3" s="312"/>
      <c r="N3" s="289" t="s">
        <v>379</v>
      </c>
    </row>
    <row r="4" spans="1:14" ht="15.75">
      <c r="A4" s="311"/>
      <c r="B4" s="312"/>
      <c r="C4" s="312"/>
      <c r="D4" s="312"/>
      <c r="E4" s="312"/>
      <c r="F4" s="312"/>
      <c r="G4" s="312"/>
      <c r="H4" s="312"/>
      <c r="I4" s="312"/>
      <c r="N4" s="302"/>
    </row>
    <row r="5" spans="13:14" s="303" customFormat="1" ht="15.75">
      <c r="M5" s="301"/>
      <c r="N5" s="109" t="s">
        <v>38</v>
      </c>
    </row>
    <row r="6" spans="13:14" s="303" customFormat="1" ht="15.75">
      <c r="M6" s="301"/>
      <c r="N6" s="109" t="s">
        <v>647</v>
      </c>
    </row>
    <row r="7" spans="13:14" s="303" customFormat="1" ht="15.75">
      <c r="M7" s="301"/>
      <c r="N7" s="109"/>
    </row>
    <row r="8" spans="13:14" s="303" customFormat="1" ht="15.75">
      <c r="M8" s="301"/>
      <c r="N8" s="109" t="s">
        <v>648</v>
      </c>
    </row>
    <row r="9" spans="13:14" s="303" customFormat="1" ht="15.75">
      <c r="M9" s="301"/>
      <c r="N9" s="109" t="s">
        <v>795</v>
      </c>
    </row>
    <row r="10" spans="13:14" s="303" customFormat="1" ht="15.75">
      <c r="M10" s="301"/>
      <c r="N10" s="109" t="s">
        <v>42</v>
      </c>
    </row>
    <row r="11" spans="1:14" ht="33" customHeight="1">
      <c r="A11" s="1015" t="s">
        <v>790</v>
      </c>
      <c r="B11" s="1016"/>
      <c r="C11" s="1016"/>
      <c r="D11" s="1016"/>
      <c r="E11" s="1016"/>
      <c r="F11" s="1016"/>
      <c r="G11" s="1016"/>
      <c r="H11" s="1016"/>
      <c r="I11" s="1016"/>
      <c r="J11" s="1016"/>
      <c r="K11" s="1016"/>
      <c r="L11" s="1016"/>
      <c r="M11" s="1016"/>
      <c r="N11" s="1016"/>
    </row>
    <row r="12" spans="1:14" ht="38.25" customHeight="1">
      <c r="A12" s="1017" t="s">
        <v>761</v>
      </c>
      <c r="B12" s="1017"/>
      <c r="C12" s="1017"/>
      <c r="D12" s="1017"/>
      <c r="E12" s="1017"/>
      <c r="F12" s="1017"/>
      <c r="G12" s="1017"/>
      <c r="H12" s="1017"/>
      <c r="I12" s="1017"/>
      <c r="J12" s="1017"/>
      <c r="K12" s="1017"/>
      <c r="L12" s="1017"/>
      <c r="M12" s="1017"/>
      <c r="N12" s="1017"/>
    </row>
    <row r="13" spans="1:9" ht="15.75" customHeight="1">
      <c r="A13" s="1018" t="s">
        <v>796</v>
      </c>
      <c r="B13" s="1018"/>
      <c r="C13" s="1018"/>
      <c r="D13" s="1018"/>
      <c r="E13" s="1018"/>
      <c r="F13" s="1018"/>
      <c r="G13" s="1018"/>
      <c r="H13" s="1018"/>
      <c r="I13" s="1018"/>
    </row>
    <row r="14" spans="1:9" ht="15.75">
      <c r="A14" s="312"/>
      <c r="B14" s="312"/>
      <c r="C14" s="312"/>
      <c r="D14" s="312"/>
      <c r="E14" s="312"/>
      <c r="F14" s="312"/>
      <c r="G14" s="312"/>
      <c r="H14" s="312"/>
      <c r="I14" s="312"/>
    </row>
    <row r="15" spans="1:9" ht="16.5" customHeight="1" thickBot="1">
      <c r="A15" s="1019" t="s">
        <v>797</v>
      </c>
      <c r="B15" s="1019"/>
      <c r="C15" s="1020"/>
      <c r="D15" s="1020"/>
      <c r="E15" s="1020"/>
      <c r="F15" s="1020"/>
      <c r="G15" s="1020"/>
      <c r="H15" s="1020"/>
      <c r="I15" s="1020"/>
    </row>
    <row r="16" spans="1:14" ht="30.75" customHeight="1">
      <c r="A16" s="1021" t="s">
        <v>487</v>
      </c>
      <c r="B16" s="1023" t="s">
        <v>488</v>
      </c>
      <c r="C16" s="1023" t="s">
        <v>489</v>
      </c>
      <c r="D16" s="1023"/>
      <c r="E16" s="1023"/>
      <c r="F16" s="1023"/>
      <c r="G16" s="1023" t="s">
        <v>490</v>
      </c>
      <c r="H16" s="1023" t="s">
        <v>491</v>
      </c>
      <c r="I16" s="1025" t="s">
        <v>492</v>
      </c>
      <c r="J16" s="1034" t="s">
        <v>493</v>
      </c>
      <c r="K16" s="1035"/>
      <c r="L16" s="1035"/>
      <c r="M16" s="1035"/>
      <c r="N16" s="1036"/>
    </row>
    <row r="17" spans="1:14" ht="15.75">
      <c r="A17" s="1022"/>
      <c r="B17" s="1003"/>
      <c r="C17" s="1003" t="s">
        <v>494</v>
      </c>
      <c r="D17" s="1003"/>
      <c r="E17" s="1003" t="s">
        <v>495</v>
      </c>
      <c r="F17" s="1003"/>
      <c r="G17" s="1003"/>
      <c r="H17" s="1003"/>
      <c r="I17" s="1026"/>
      <c r="J17" s="1037"/>
      <c r="K17" s="1038"/>
      <c r="L17" s="1038"/>
      <c r="M17" s="1038"/>
      <c r="N17" s="1039"/>
    </row>
    <row r="18" spans="1:14" ht="15.75">
      <c r="A18" s="1022"/>
      <c r="B18" s="1003"/>
      <c r="C18" s="1046" t="s">
        <v>496</v>
      </c>
      <c r="D18" s="1046" t="s">
        <v>497</v>
      </c>
      <c r="E18" s="1046" t="s">
        <v>496</v>
      </c>
      <c r="F18" s="1046" t="s">
        <v>497</v>
      </c>
      <c r="G18" s="1003"/>
      <c r="H18" s="1003"/>
      <c r="I18" s="1026"/>
      <c r="J18" s="1040"/>
      <c r="K18" s="1041"/>
      <c r="L18" s="1041"/>
      <c r="M18" s="1041"/>
      <c r="N18" s="1042"/>
    </row>
    <row r="19" spans="1:14" ht="15.75">
      <c r="A19" s="1022"/>
      <c r="B19" s="1024"/>
      <c r="C19" s="1047"/>
      <c r="D19" s="1047"/>
      <c r="E19" s="1047"/>
      <c r="F19" s="1047"/>
      <c r="G19" s="1003"/>
      <c r="H19" s="1003"/>
      <c r="I19" s="1026"/>
      <c r="J19" s="1040"/>
      <c r="K19" s="1041"/>
      <c r="L19" s="1041"/>
      <c r="M19" s="1041"/>
      <c r="N19" s="1042"/>
    </row>
    <row r="20" spans="1:14" ht="15.75">
      <c r="A20" s="1022"/>
      <c r="B20" s="1003"/>
      <c r="C20" s="1048"/>
      <c r="D20" s="1048"/>
      <c r="E20" s="1048"/>
      <c r="F20" s="1048"/>
      <c r="G20" s="1003"/>
      <c r="H20" s="1003"/>
      <c r="I20" s="1026"/>
      <c r="J20" s="1043"/>
      <c r="K20" s="1044"/>
      <c r="L20" s="1044"/>
      <c r="M20" s="1044"/>
      <c r="N20" s="1045"/>
    </row>
    <row r="21" spans="1:14" ht="16.5" thickBot="1">
      <c r="A21" s="313">
        <v>1</v>
      </c>
      <c r="B21" s="314">
        <v>2</v>
      </c>
      <c r="C21" s="314">
        <v>3</v>
      </c>
      <c r="D21" s="314">
        <v>4</v>
      </c>
      <c r="E21" s="314">
        <v>5</v>
      </c>
      <c r="F21" s="314">
        <v>6</v>
      </c>
      <c r="G21" s="314">
        <v>8</v>
      </c>
      <c r="H21" s="314">
        <v>9</v>
      </c>
      <c r="I21" s="314">
        <v>10</v>
      </c>
      <c r="J21" s="1027">
        <v>11</v>
      </c>
      <c r="K21" s="1028"/>
      <c r="L21" s="1028"/>
      <c r="M21" s="1028"/>
      <c r="N21" s="1029"/>
    </row>
    <row r="22" spans="1:14" s="326" customFormat="1" ht="24.75" customHeight="1">
      <c r="A22" s="907" t="s">
        <v>498</v>
      </c>
      <c r="B22" s="508" t="s">
        <v>499</v>
      </c>
      <c r="C22" s="533">
        <v>41640</v>
      </c>
      <c r="D22" s="533">
        <v>42522</v>
      </c>
      <c r="E22" s="506">
        <v>42217</v>
      </c>
      <c r="F22" s="318" t="s">
        <v>630</v>
      </c>
      <c r="G22" s="322"/>
      <c r="H22" s="322"/>
      <c r="I22" s="1055" t="s">
        <v>631</v>
      </c>
      <c r="J22" s="323"/>
      <c r="K22" s="324"/>
      <c r="L22" s="324"/>
      <c r="M22" s="324"/>
      <c r="N22" s="325"/>
    </row>
    <row r="23" spans="1:14" s="326" customFormat="1" ht="27.75" customHeight="1">
      <c r="A23" s="907" t="s">
        <v>525</v>
      </c>
      <c r="B23" s="508" t="s">
        <v>526</v>
      </c>
      <c r="C23" s="533">
        <v>41699</v>
      </c>
      <c r="D23" s="533">
        <v>42522</v>
      </c>
      <c r="E23" s="506">
        <v>42248</v>
      </c>
      <c r="F23" s="318" t="s">
        <v>630</v>
      </c>
      <c r="G23" s="322"/>
      <c r="H23" s="322"/>
      <c r="I23" s="1056"/>
      <c r="J23" s="323"/>
      <c r="K23" s="324"/>
      <c r="L23" s="324"/>
      <c r="M23" s="324"/>
      <c r="N23" s="325"/>
    </row>
    <row r="24" spans="1:17" s="326" customFormat="1" ht="15.75" customHeight="1">
      <c r="A24" s="907" t="s">
        <v>502</v>
      </c>
      <c r="B24" s="508" t="s">
        <v>503</v>
      </c>
      <c r="C24" s="533">
        <v>42156</v>
      </c>
      <c r="D24" s="533">
        <v>42522</v>
      </c>
      <c r="E24" s="506">
        <v>42248</v>
      </c>
      <c r="F24" s="455">
        <v>42339</v>
      </c>
      <c r="G24" s="322"/>
      <c r="H24" s="322"/>
      <c r="I24" s="1056"/>
      <c r="J24" s="323"/>
      <c r="K24" s="324"/>
      <c r="L24" s="324"/>
      <c r="M24" s="324"/>
      <c r="N24" s="325"/>
      <c r="P24" s="507"/>
      <c r="Q24" s="327"/>
    </row>
    <row r="25" spans="1:17" s="326" customFormat="1" ht="28.5" customHeight="1">
      <c r="A25" s="907" t="s">
        <v>506</v>
      </c>
      <c r="B25" s="508" t="s">
        <v>507</v>
      </c>
      <c r="C25" s="533">
        <v>42522</v>
      </c>
      <c r="D25" s="533">
        <v>42614</v>
      </c>
      <c r="E25" s="318"/>
      <c r="F25" s="318"/>
      <c r="G25" s="322"/>
      <c r="H25" s="322"/>
      <c r="I25" s="1056"/>
      <c r="J25" s="323"/>
      <c r="K25" s="324"/>
      <c r="L25" s="324"/>
      <c r="M25" s="324"/>
      <c r="N25" s="325"/>
      <c r="P25" s="328"/>
      <c r="Q25" s="328"/>
    </row>
    <row r="26" spans="1:17" s="326" customFormat="1" ht="29.25" customHeight="1">
      <c r="A26" s="907" t="s">
        <v>508</v>
      </c>
      <c r="B26" s="508" t="s">
        <v>509</v>
      </c>
      <c r="C26" s="533">
        <v>42614</v>
      </c>
      <c r="D26" s="533">
        <v>42979</v>
      </c>
      <c r="E26" s="506">
        <v>42401</v>
      </c>
      <c r="F26" s="318"/>
      <c r="G26" s="322"/>
      <c r="H26" s="322"/>
      <c r="I26" s="1056"/>
      <c r="J26" s="323"/>
      <c r="K26" s="324"/>
      <c r="L26" s="324"/>
      <c r="M26" s="324"/>
      <c r="N26" s="325"/>
      <c r="P26" s="328"/>
      <c r="Q26" s="328"/>
    </row>
    <row r="27" spans="1:17" s="326" customFormat="1" ht="44.25" customHeight="1">
      <c r="A27" s="907" t="s">
        <v>510</v>
      </c>
      <c r="B27" s="508" t="s">
        <v>636</v>
      </c>
      <c r="C27" s="533">
        <v>42522</v>
      </c>
      <c r="D27" s="533">
        <v>42614</v>
      </c>
      <c r="E27" s="506">
        <v>42401</v>
      </c>
      <c r="F27" s="318"/>
      <c r="G27" s="322"/>
      <c r="H27" s="322"/>
      <c r="I27" s="1056"/>
      <c r="J27" s="323"/>
      <c r="K27" s="324"/>
      <c r="L27" s="324"/>
      <c r="M27" s="324"/>
      <c r="N27" s="325"/>
      <c r="P27" s="328"/>
      <c r="Q27" s="328"/>
    </row>
    <row r="28" spans="1:17" s="326" customFormat="1" ht="15.75">
      <c r="A28" s="907" t="s">
        <v>512</v>
      </c>
      <c r="B28" s="508" t="s">
        <v>513</v>
      </c>
      <c r="C28" s="533">
        <v>42583</v>
      </c>
      <c r="D28" s="533">
        <v>43313</v>
      </c>
      <c r="E28" s="506">
        <v>42614</v>
      </c>
      <c r="F28" s="318"/>
      <c r="G28" s="322"/>
      <c r="H28" s="322"/>
      <c r="I28" s="1056"/>
      <c r="J28" s="323"/>
      <c r="K28" s="324"/>
      <c r="L28" s="324"/>
      <c r="M28" s="324"/>
      <c r="N28" s="325"/>
      <c r="P28" s="329"/>
      <c r="Q28" s="329"/>
    </row>
    <row r="29" spans="1:17" s="326" customFormat="1" ht="63.75">
      <c r="A29" s="907" t="s">
        <v>527</v>
      </c>
      <c r="B29" s="516" t="s">
        <v>528</v>
      </c>
      <c r="C29" s="533">
        <v>42614</v>
      </c>
      <c r="D29" s="533">
        <v>43313</v>
      </c>
      <c r="E29" s="506">
        <v>42522</v>
      </c>
      <c r="F29" s="506">
        <v>42552</v>
      </c>
      <c r="G29" s="322"/>
      <c r="H29" s="322"/>
      <c r="I29" s="1057"/>
      <c r="J29" s="323"/>
      <c r="K29" s="324"/>
      <c r="L29" s="324"/>
      <c r="M29" s="324"/>
      <c r="N29" s="325"/>
      <c r="P29" s="328"/>
      <c r="Q29" s="328"/>
    </row>
    <row r="30" spans="1:17" s="326" customFormat="1" ht="25.5">
      <c r="A30" s="907" t="s">
        <v>514</v>
      </c>
      <c r="B30" s="508" t="s">
        <v>515</v>
      </c>
      <c r="C30" s="533">
        <v>42614</v>
      </c>
      <c r="D30" s="533">
        <v>43678</v>
      </c>
      <c r="E30" s="506">
        <v>42552</v>
      </c>
      <c r="F30" s="318"/>
      <c r="G30" s="322"/>
      <c r="H30" s="322"/>
      <c r="I30" s="322"/>
      <c r="J30" s="323"/>
      <c r="K30" s="324"/>
      <c r="L30" s="324"/>
      <c r="M30" s="324"/>
      <c r="N30" s="325"/>
      <c r="P30" s="327"/>
      <c r="Q30" s="327"/>
    </row>
    <row r="31" spans="1:17" s="326" customFormat="1" ht="32.25" customHeight="1">
      <c r="A31" s="907" t="s">
        <v>518</v>
      </c>
      <c r="B31" s="508" t="s">
        <v>519</v>
      </c>
      <c r="C31" s="533">
        <v>43678</v>
      </c>
      <c r="D31" s="533">
        <v>43709</v>
      </c>
      <c r="E31" s="318"/>
      <c r="F31" s="318"/>
      <c r="G31" s="322"/>
      <c r="H31" s="322"/>
      <c r="I31" s="322"/>
      <c r="J31" s="323"/>
      <c r="K31" s="324"/>
      <c r="L31" s="324"/>
      <c r="M31" s="324"/>
      <c r="N31" s="325"/>
      <c r="P31" s="327"/>
      <c r="Q31" s="327"/>
    </row>
    <row r="32" spans="1:17" s="326" customFormat="1" ht="76.5">
      <c r="A32" s="907" t="s">
        <v>522</v>
      </c>
      <c r="B32" s="508" t="s">
        <v>523</v>
      </c>
      <c r="C32" s="533">
        <v>43709</v>
      </c>
      <c r="D32" s="533">
        <v>43709</v>
      </c>
      <c r="E32" s="318"/>
      <c r="F32" s="318"/>
      <c r="G32" s="322"/>
      <c r="H32" s="322"/>
      <c r="I32" s="322"/>
      <c r="J32" s="323"/>
      <c r="K32" s="324"/>
      <c r="L32" s="324"/>
      <c r="M32" s="324"/>
      <c r="N32" s="325"/>
      <c r="P32" s="327"/>
      <c r="Q32" s="327"/>
    </row>
    <row r="33" ht="15.75">
      <c r="B33" s="321"/>
    </row>
    <row r="34" spans="1:2" ht="15.75">
      <c r="A34" s="108" t="s">
        <v>524</v>
      </c>
      <c r="B34" s="321"/>
    </row>
    <row r="36" spans="3:9" ht="15.75">
      <c r="C36" s="1033" t="s">
        <v>757</v>
      </c>
      <c r="D36" s="1033"/>
      <c r="E36" s="1033"/>
      <c r="F36" s="1033"/>
      <c r="G36" s="1033"/>
      <c r="H36" s="1033"/>
      <c r="I36" s="1033"/>
    </row>
    <row r="38" spans="1:14" ht="15.75">
      <c r="A38" s="427"/>
      <c r="B38" s="427"/>
      <c r="C38" s="427"/>
      <c r="D38" s="427"/>
      <c r="E38" s="427"/>
      <c r="F38" s="427"/>
      <c r="G38" s="427"/>
      <c r="H38" s="427"/>
      <c r="I38" s="427"/>
      <c r="J38" s="427"/>
      <c r="K38" s="427"/>
      <c r="L38" s="427"/>
      <c r="M38" s="427"/>
      <c r="N38" s="427"/>
    </row>
    <row r="39" spans="1:14" ht="15.75">
      <c r="A39" s="427"/>
      <c r="B39" s="427"/>
      <c r="C39" s="427"/>
      <c r="D39" s="427"/>
      <c r="E39" s="427"/>
      <c r="F39" s="427"/>
      <c r="G39" s="427"/>
      <c r="H39" s="427"/>
      <c r="I39" s="427"/>
      <c r="J39" s="427"/>
      <c r="K39" s="427"/>
      <c r="L39" s="427"/>
      <c r="M39" s="427"/>
      <c r="N39" s="427"/>
    </row>
    <row r="40" spans="1:15" ht="15.75">
      <c r="A40" s="427"/>
      <c r="B40" s="427"/>
      <c r="C40" s="427"/>
      <c r="D40" s="427"/>
      <c r="E40" s="427"/>
      <c r="F40" s="427"/>
      <c r="G40" s="427"/>
      <c r="H40" s="427"/>
      <c r="I40" s="427"/>
      <c r="J40" s="427"/>
      <c r="K40" s="427"/>
      <c r="L40" s="427"/>
      <c r="M40" s="427"/>
      <c r="N40" s="427"/>
      <c r="O40" s="427"/>
    </row>
    <row r="41" spans="1:14" ht="15.75">
      <c r="A41" s="427"/>
      <c r="B41" s="427"/>
      <c r="C41" s="427"/>
      <c r="D41" s="427"/>
      <c r="E41" s="427"/>
      <c r="F41" s="427"/>
      <c r="G41" s="427"/>
      <c r="H41" s="427"/>
      <c r="I41" s="427"/>
      <c r="J41" s="427"/>
      <c r="K41" s="427"/>
      <c r="L41" s="427"/>
      <c r="M41" s="427"/>
      <c r="N41" s="427"/>
    </row>
    <row r="42" spans="1:14" ht="15.75">
      <c r="A42" s="427"/>
      <c r="B42" s="427"/>
      <c r="C42" s="427"/>
      <c r="D42" s="427"/>
      <c r="E42" s="427"/>
      <c r="F42" s="427"/>
      <c r="G42" s="427"/>
      <c r="H42" s="427"/>
      <c r="I42" s="427"/>
      <c r="J42" s="427"/>
      <c r="K42" s="427"/>
      <c r="L42" s="427"/>
      <c r="M42" s="427"/>
      <c r="N42" s="427"/>
    </row>
    <row r="43" spans="1:14" ht="15.75">
      <c r="A43" s="427"/>
      <c r="B43" s="427"/>
      <c r="C43" s="427"/>
      <c r="D43" s="427"/>
      <c r="E43" s="427"/>
      <c r="F43" s="427"/>
      <c r="G43" s="427"/>
      <c r="H43" s="427"/>
      <c r="I43" s="427"/>
      <c r="J43" s="427"/>
      <c r="K43" s="427"/>
      <c r="L43" s="427"/>
      <c r="M43" s="427"/>
      <c r="N43" s="427"/>
    </row>
    <row r="44" spans="1:14" ht="15.75">
      <c r="A44" s="427"/>
      <c r="B44" s="427"/>
      <c r="C44" s="427"/>
      <c r="D44" s="427"/>
      <c r="E44" s="427"/>
      <c r="F44" s="427"/>
      <c r="G44" s="427"/>
      <c r="H44" s="427"/>
      <c r="I44" s="427"/>
      <c r="J44" s="427"/>
      <c r="K44" s="427"/>
      <c r="L44" s="427"/>
      <c r="M44" s="427"/>
      <c r="N44" s="427"/>
    </row>
    <row r="45" spans="1:14" ht="15.75">
      <c r="A45" s="427"/>
      <c r="B45" s="427"/>
      <c r="C45" s="427"/>
      <c r="D45" s="427"/>
      <c r="E45" s="427"/>
      <c r="F45" s="427"/>
      <c r="G45" s="427"/>
      <c r="H45" s="427"/>
      <c r="I45" s="427"/>
      <c r="J45" s="427"/>
      <c r="K45" s="427"/>
      <c r="L45" s="427"/>
      <c r="M45" s="427"/>
      <c r="N45" s="427"/>
    </row>
    <row r="46" spans="1:14" ht="15.75">
      <c r="A46" s="427"/>
      <c r="B46" s="427"/>
      <c r="C46" s="427"/>
      <c r="D46" s="427"/>
      <c r="E46" s="427"/>
      <c r="F46" s="427"/>
      <c r="G46" s="427"/>
      <c r="H46" s="427"/>
      <c r="I46" s="427"/>
      <c r="J46" s="427"/>
      <c r="K46" s="427"/>
      <c r="L46" s="427"/>
      <c r="M46" s="427"/>
      <c r="N46" s="427"/>
    </row>
    <row r="47" spans="1:14" ht="15.75">
      <c r="A47" s="427"/>
      <c r="B47" s="427"/>
      <c r="C47" s="427"/>
      <c r="D47" s="427"/>
      <c r="E47" s="427"/>
      <c r="F47" s="427"/>
      <c r="G47" s="427"/>
      <c r="H47" s="427"/>
      <c r="I47" s="427"/>
      <c r="J47" s="427"/>
      <c r="K47" s="427"/>
      <c r="L47" s="427"/>
      <c r="M47" s="427"/>
      <c r="N47" s="427"/>
    </row>
    <row r="48" spans="1:14" ht="15.75">
      <c r="A48" s="427"/>
      <c r="B48" s="427"/>
      <c r="C48" s="427"/>
      <c r="D48" s="427"/>
      <c r="E48" s="427"/>
      <c r="F48" s="427"/>
      <c r="G48" s="427"/>
      <c r="H48" s="427"/>
      <c r="I48" s="427"/>
      <c r="J48" s="427"/>
      <c r="K48" s="427"/>
      <c r="L48" s="427"/>
      <c r="M48" s="427"/>
      <c r="N48" s="427"/>
    </row>
    <row r="49" spans="1:14" ht="15.75">
      <c r="A49" s="427"/>
      <c r="B49" s="427"/>
      <c r="C49" s="427"/>
      <c r="D49" s="427"/>
      <c r="E49" s="427"/>
      <c r="F49" s="427"/>
      <c r="G49" s="427"/>
      <c r="H49" s="427"/>
      <c r="I49" s="427"/>
      <c r="J49" s="427"/>
      <c r="K49" s="427"/>
      <c r="L49" s="427"/>
      <c r="M49" s="427"/>
      <c r="N49" s="427"/>
    </row>
    <row r="50" spans="1:14" ht="15.75">
      <c r="A50" s="427"/>
      <c r="B50" s="427"/>
      <c r="C50" s="427"/>
      <c r="D50" s="427"/>
      <c r="E50" s="427"/>
      <c r="F50" s="427"/>
      <c r="G50" s="427"/>
      <c r="H50" s="427"/>
      <c r="I50" s="427"/>
      <c r="J50" s="427"/>
      <c r="K50" s="427"/>
      <c r="L50" s="427"/>
      <c r="M50" s="427"/>
      <c r="N50" s="427"/>
    </row>
    <row r="51" spans="1:14" ht="15.75">
      <c r="A51" s="427"/>
      <c r="B51" s="427"/>
      <c r="C51" s="427"/>
      <c r="D51" s="427"/>
      <c r="E51" s="427"/>
      <c r="F51" s="427"/>
      <c r="G51" s="427"/>
      <c r="H51" s="427"/>
      <c r="I51" s="427"/>
      <c r="J51" s="427"/>
      <c r="K51" s="427"/>
      <c r="L51" s="427"/>
      <c r="M51" s="427"/>
      <c r="N51" s="427"/>
    </row>
    <row r="52" spans="1:14" ht="15.75">
      <c r="A52" s="427"/>
      <c r="B52" s="427"/>
      <c r="C52" s="427"/>
      <c r="D52" s="427"/>
      <c r="E52" s="427"/>
      <c r="F52" s="427"/>
      <c r="G52" s="427"/>
      <c r="H52" s="427"/>
      <c r="I52" s="427"/>
      <c r="J52" s="427"/>
      <c r="K52" s="427"/>
      <c r="L52" s="427"/>
      <c r="M52" s="427"/>
      <c r="N52" s="427"/>
    </row>
    <row r="53" spans="1:9" ht="15.75">
      <c r="A53" s="427"/>
      <c r="B53" s="427"/>
      <c r="C53" s="427"/>
      <c r="D53" s="427"/>
      <c r="E53" s="427"/>
      <c r="F53" s="427"/>
      <c r="G53" s="427"/>
      <c r="H53" s="427"/>
      <c r="I53" s="427"/>
    </row>
  </sheetData>
  <sheetProtection/>
  <mergeCells count="20">
    <mergeCell ref="A11:N11"/>
    <mergeCell ref="A12:N12"/>
    <mergeCell ref="A13:I13"/>
    <mergeCell ref="A15:I15"/>
    <mergeCell ref="A16:A20"/>
    <mergeCell ref="B16:B20"/>
    <mergeCell ref="C16:F16"/>
    <mergeCell ref="G16:G20"/>
    <mergeCell ref="H16:H20"/>
    <mergeCell ref="I16:I20"/>
    <mergeCell ref="J21:N21"/>
    <mergeCell ref="I22:I29"/>
    <mergeCell ref="C36:I36"/>
    <mergeCell ref="J16:N20"/>
    <mergeCell ref="C17:D17"/>
    <mergeCell ref="E17:F17"/>
    <mergeCell ref="C18:C20"/>
    <mergeCell ref="D18:D20"/>
    <mergeCell ref="E18:E20"/>
    <mergeCell ref="F18:F20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1"/>
  <sheetViews>
    <sheetView view="pageBreakPreview" zoomScale="65" zoomScaleNormal="80" zoomScaleSheetLayoutView="65" zoomScalePageLayoutView="0" workbookViewId="0" topLeftCell="A7">
      <selection activeCell="A32" sqref="A32"/>
    </sheetView>
  </sheetViews>
  <sheetFormatPr defaultColWidth="9.00390625" defaultRowHeight="15.75"/>
  <cols>
    <col min="1" max="1" width="13.875" style="108" customWidth="1"/>
    <col min="2" max="2" width="31.75390625" style="311" customWidth="1"/>
    <col min="3" max="6" width="11.75390625" style="311" customWidth="1"/>
    <col min="7" max="8" width="20.00390625" style="311" customWidth="1"/>
    <col min="9" max="9" width="15.625" style="311" customWidth="1"/>
    <col min="10" max="14" width="7.875" style="311" customWidth="1"/>
    <col min="15" max="15" width="9.00390625" style="311" customWidth="1"/>
    <col min="16" max="16" width="13.625" style="108" customWidth="1"/>
    <col min="17" max="16384" width="9.00390625" style="108" customWidth="1"/>
  </cols>
  <sheetData>
    <row r="1" spans="1:14" ht="15.75">
      <c r="A1" s="311"/>
      <c r="B1" s="312"/>
      <c r="C1" s="312"/>
      <c r="D1" s="312"/>
      <c r="E1" s="312"/>
      <c r="F1" s="312"/>
      <c r="G1" s="312"/>
      <c r="H1" s="312"/>
      <c r="I1" s="312"/>
      <c r="N1" s="302" t="s">
        <v>486</v>
      </c>
    </row>
    <row r="2" spans="1:14" ht="15.75">
      <c r="A2" s="311"/>
      <c r="B2" s="312"/>
      <c r="C2" s="312"/>
      <c r="D2" s="312"/>
      <c r="E2" s="312"/>
      <c r="F2" s="312"/>
      <c r="G2" s="312"/>
      <c r="H2" s="312"/>
      <c r="I2" s="312"/>
      <c r="N2" s="302" t="s">
        <v>37</v>
      </c>
    </row>
    <row r="3" spans="1:14" ht="15.75">
      <c r="A3" s="311"/>
      <c r="B3" s="312"/>
      <c r="C3" s="312"/>
      <c r="D3" s="312"/>
      <c r="E3" s="312"/>
      <c r="F3" s="312"/>
      <c r="G3" s="312"/>
      <c r="H3" s="312"/>
      <c r="I3" s="312"/>
      <c r="N3" s="289" t="s">
        <v>379</v>
      </c>
    </row>
    <row r="4" spans="1:14" ht="15.75">
      <c r="A4" s="311"/>
      <c r="B4" s="312"/>
      <c r="C4" s="312"/>
      <c r="D4" s="312"/>
      <c r="E4" s="312"/>
      <c r="F4" s="312"/>
      <c r="G4" s="312"/>
      <c r="H4" s="312"/>
      <c r="I4" s="312"/>
      <c r="N4" s="302"/>
    </row>
    <row r="5" spans="13:14" s="303" customFormat="1" ht="15.75">
      <c r="M5" s="301"/>
      <c r="N5" s="109" t="s">
        <v>38</v>
      </c>
    </row>
    <row r="6" spans="13:14" s="303" customFormat="1" ht="15.75">
      <c r="M6" s="301"/>
      <c r="N6" s="109" t="s">
        <v>647</v>
      </c>
    </row>
    <row r="7" spans="13:14" s="303" customFormat="1" ht="15.75">
      <c r="M7" s="301"/>
      <c r="N7" s="109"/>
    </row>
    <row r="8" spans="13:14" s="303" customFormat="1" ht="15.75">
      <c r="M8" s="301"/>
      <c r="N8" s="109" t="s">
        <v>648</v>
      </c>
    </row>
    <row r="9" spans="13:14" s="303" customFormat="1" ht="15.75">
      <c r="M9" s="301"/>
      <c r="N9" s="109" t="s">
        <v>795</v>
      </c>
    </row>
    <row r="10" spans="13:14" s="303" customFormat="1" ht="15.75">
      <c r="M10" s="301"/>
      <c r="N10" s="109" t="s">
        <v>42</v>
      </c>
    </row>
    <row r="11" spans="1:14" ht="33" customHeight="1">
      <c r="A11" s="1015" t="s">
        <v>790</v>
      </c>
      <c r="B11" s="1016"/>
      <c r="C11" s="1016"/>
      <c r="D11" s="1016"/>
      <c r="E11" s="1016"/>
      <c r="F11" s="1016"/>
      <c r="G11" s="1016"/>
      <c r="H11" s="1016"/>
      <c r="I11" s="1016"/>
      <c r="J11" s="1016"/>
      <c r="K11" s="1016"/>
      <c r="L11" s="1016"/>
      <c r="M11" s="1016"/>
      <c r="N11" s="1016"/>
    </row>
    <row r="12" spans="1:14" ht="38.25" customHeight="1">
      <c r="A12" s="1017" t="s">
        <v>762</v>
      </c>
      <c r="B12" s="1017"/>
      <c r="C12" s="1017"/>
      <c r="D12" s="1017"/>
      <c r="E12" s="1017"/>
      <c r="F12" s="1017"/>
      <c r="G12" s="1017"/>
      <c r="H12" s="1017"/>
      <c r="I12" s="1017"/>
      <c r="J12" s="1017"/>
      <c r="K12" s="1017"/>
      <c r="L12" s="1017"/>
      <c r="M12" s="1017"/>
      <c r="N12" s="1017"/>
    </row>
    <row r="13" spans="1:9" ht="15.75" customHeight="1">
      <c r="A13" s="1018" t="s">
        <v>796</v>
      </c>
      <c r="B13" s="1018"/>
      <c r="C13" s="1018"/>
      <c r="D13" s="1018"/>
      <c r="E13" s="1018"/>
      <c r="F13" s="1018"/>
      <c r="G13" s="1018"/>
      <c r="H13" s="1018"/>
      <c r="I13" s="1018"/>
    </row>
    <row r="14" spans="1:9" ht="15.75">
      <c r="A14" s="312"/>
      <c r="B14" s="312"/>
      <c r="C14" s="312"/>
      <c r="D14" s="312"/>
      <c r="E14" s="312"/>
      <c r="F14" s="312"/>
      <c r="G14" s="312"/>
      <c r="H14" s="312"/>
      <c r="I14" s="312"/>
    </row>
    <row r="15" spans="1:9" ht="16.5" customHeight="1" thickBot="1">
      <c r="A15" s="1019" t="s">
        <v>797</v>
      </c>
      <c r="B15" s="1019"/>
      <c r="C15" s="1020"/>
      <c r="D15" s="1020"/>
      <c r="E15" s="1020"/>
      <c r="F15" s="1020"/>
      <c r="G15" s="1020"/>
      <c r="H15" s="1020"/>
      <c r="I15" s="1020"/>
    </row>
    <row r="16" spans="1:14" ht="30.75" customHeight="1">
      <c r="A16" s="1021" t="s">
        <v>487</v>
      </c>
      <c r="B16" s="1023" t="s">
        <v>488</v>
      </c>
      <c r="C16" s="1023" t="s">
        <v>489</v>
      </c>
      <c r="D16" s="1023"/>
      <c r="E16" s="1023"/>
      <c r="F16" s="1023"/>
      <c r="G16" s="1023" t="s">
        <v>490</v>
      </c>
      <c r="H16" s="1023" t="s">
        <v>491</v>
      </c>
      <c r="I16" s="1025" t="s">
        <v>492</v>
      </c>
      <c r="J16" s="1034" t="s">
        <v>493</v>
      </c>
      <c r="K16" s="1035"/>
      <c r="L16" s="1035"/>
      <c r="M16" s="1035"/>
      <c r="N16" s="1036"/>
    </row>
    <row r="17" spans="1:14" ht="15.75">
      <c r="A17" s="1022"/>
      <c r="B17" s="1003"/>
      <c r="C17" s="1003" t="s">
        <v>494</v>
      </c>
      <c r="D17" s="1003"/>
      <c r="E17" s="1003" t="s">
        <v>495</v>
      </c>
      <c r="F17" s="1003"/>
      <c r="G17" s="1003"/>
      <c r="H17" s="1003"/>
      <c r="I17" s="1026"/>
      <c r="J17" s="1037"/>
      <c r="K17" s="1038"/>
      <c r="L17" s="1038"/>
      <c r="M17" s="1038"/>
      <c r="N17" s="1039"/>
    </row>
    <row r="18" spans="1:14" ht="15.75">
      <c r="A18" s="1022"/>
      <c r="B18" s="1003"/>
      <c r="C18" s="1046" t="s">
        <v>496</v>
      </c>
      <c r="D18" s="1046" t="s">
        <v>497</v>
      </c>
      <c r="E18" s="1046" t="s">
        <v>496</v>
      </c>
      <c r="F18" s="1046" t="s">
        <v>497</v>
      </c>
      <c r="G18" s="1003"/>
      <c r="H18" s="1003"/>
      <c r="I18" s="1026"/>
      <c r="J18" s="1040"/>
      <c r="K18" s="1041"/>
      <c r="L18" s="1041"/>
      <c r="M18" s="1041"/>
      <c r="N18" s="1042"/>
    </row>
    <row r="19" spans="1:14" ht="15.75">
      <c r="A19" s="1022"/>
      <c r="B19" s="1024"/>
      <c r="C19" s="1047"/>
      <c r="D19" s="1047"/>
      <c r="E19" s="1047"/>
      <c r="F19" s="1047"/>
      <c r="G19" s="1003"/>
      <c r="H19" s="1003"/>
      <c r="I19" s="1026"/>
      <c r="J19" s="1040"/>
      <c r="K19" s="1041"/>
      <c r="L19" s="1041"/>
      <c r="M19" s="1041"/>
      <c r="N19" s="1042"/>
    </row>
    <row r="20" spans="1:14" ht="15.75">
      <c r="A20" s="1022"/>
      <c r="B20" s="1003"/>
      <c r="C20" s="1048"/>
      <c r="D20" s="1048"/>
      <c r="E20" s="1048"/>
      <c r="F20" s="1048"/>
      <c r="G20" s="1003"/>
      <c r="H20" s="1003"/>
      <c r="I20" s="1026"/>
      <c r="J20" s="1043"/>
      <c r="K20" s="1044"/>
      <c r="L20" s="1044"/>
      <c r="M20" s="1044"/>
      <c r="N20" s="1045"/>
    </row>
    <row r="21" spans="1:14" ht="16.5" thickBot="1">
      <c r="A21" s="313">
        <v>1</v>
      </c>
      <c r="B21" s="314">
        <v>2</v>
      </c>
      <c r="C21" s="314">
        <v>3</v>
      </c>
      <c r="D21" s="314">
        <v>4</v>
      </c>
      <c r="E21" s="314">
        <v>5</v>
      </c>
      <c r="F21" s="314">
        <v>6</v>
      </c>
      <c r="G21" s="314">
        <v>8</v>
      </c>
      <c r="H21" s="314">
        <v>9</v>
      </c>
      <c r="I21" s="314">
        <v>10</v>
      </c>
      <c r="J21" s="1027">
        <v>11</v>
      </c>
      <c r="K21" s="1028"/>
      <c r="L21" s="1028"/>
      <c r="M21" s="1028"/>
      <c r="N21" s="1029"/>
    </row>
    <row r="22" spans="1:14" s="326" customFormat="1" ht="15.75">
      <c r="A22" s="907" t="s">
        <v>498</v>
      </c>
      <c r="B22" s="508" t="s">
        <v>499</v>
      </c>
      <c r="C22" s="533">
        <v>42370</v>
      </c>
      <c r="D22" s="533">
        <v>42522</v>
      </c>
      <c r="E22" s="318"/>
      <c r="F22" s="318"/>
      <c r="G22" s="322">
        <v>100</v>
      </c>
      <c r="H22" s="322">
        <v>100</v>
      </c>
      <c r="I22" s="906"/>
      <c r="J22" s="323"/>
      <c r="K22" s="324"/>
      <c r="L22" s="324"/>
      <c r="M22" s="324"/>
      <c r="N22" s="325"/>
    </row>
    <row r="23" spans="1:14" s="326" customFormat="1" ht="30.75" customHeight="1">
      <c r="A23" s="907" t="s">
        <v>525</v>
      </c>
      <c r="B23" s="508" t="s">
        <v>526</v>
      </c>
      <c r="C23" s="533">
        <v>42401</v>
      </c>
      <c r="D23" s="533">
        <v>42583</v>
      </c>
      <c r="E23" s="455"/>
      <c r="F23" s="455"/>
      <c r="G23" s="906">
        <v>100</v>
      </c>
      <c r="H23" s="906">
        <v>100</v>
      </c>
      <c r="I23" s="906"/>
      <c r="J23" s="504"/>
      <c r="K23" s="324"/>
      <c r="L23" s="324"/>
      <c r="M23" s="324"/>
      <c r="N23" s="325"/>
    </row>
    <row r="24" spans="1:17" s="326" customFormat="1" ht="15.75">
      <c r="A24" s="907" t="s">
        <v>502</v>
      </c>
      <c r="B24" s="508" t="s">
        <v>503</v>
      </c>
      <c r="C24" s="533">
        <v>42370</v>
      </c>
      <c r="D24" s="533">
        <v>42583</v>
      </c>
      <c r="E24" s="455"/>
      <c r="F24" s="505"/>
      <c r="G24" s="906">
        <v>100</v>
      </c>
      <c r="H24" s="906"/>
      <c r="I24" s="906"/>
      <c r="J24" s="504"/>
      <c r="K24" s="324"/>
      <c r="L24" s="324"/>
      <c r="M24" s="324"/>
      <c r="N24" s="325"/>
      <c r="P24" s="327"/>
      <c r="Q24" s="327"/>
    </row>
    <row r="25" spans="1:17" s="326" customFormat="1" ht="28.5" customHeight="1">
      <c r="A25" s="907" t="s">
        <v>506</v>
      </c>
      <c r="B25" s="508" t="s">
        <v>507</v>
      </c>
      <c r="C25" s="533">
        <v>42614</v>
      </c>
      <c r="D25" s="533">
        <v>42705</v>
      </c>
      <c r="E25" s="318"/>
      <c r="F25" s="455"/>
      <c r="G25" s="906"/>
      <c r="H25" s="906"/>
      <c r="I25" s="906"/>
      <c r="J25" s="504"/>
      <c r="K25" s="324"/>
      <c r="L25" s="324"/>
      <c r="M25" s="324"/>
      <c r="N25" s="325"/>
      <c r="P25" s="328"/>
      <c r="Q25" s="328"/>
    </row>
    <row r="26" spans="1:17" s="326" customFormat="1" ht="29.25" customHeight="1">
      <c r="A26" s="907" t="s">
        <v>508</v>
      </c>
      <c r="B26" s="508" t="s">
        <v>813</v>
      </c>
      <c r="C26" s="533">
        <v>42736</v>
      </c>
      <c r="D26" s="533">
        <v>42856</v>
      </c>
      <c r="E26" s="318"/>
      <c r="F26" s="455"/>
      <c r="G26" s="906"/>
      <c r="H26" s="906"/>
      <c r="I26" s="906"/>
      <c r="J26" s="504"/>
      <c r="K26" s="324"/>
      <c r="L26" s="324"/>
      <c r="M26" s="324"/>
      <c r="N26" s="325"/>
      <c r="P26" s="328"/>
      <c r="Q26" s="328"/>
    </row>
    <row r="27" spans="1:18" s="326" customFormat="1" ht="43.5" customHeight="1">
      <c r="A27" s="907" t="s">
        <v>510</v>
      </c>
      <c r="B27" s="508" t="s">
        <v>636</v>
      </c>
      <c r="C27" s="533">
        <v>42522</v>
      </c>
      <c r="D27" s="533">
        <v>42614</v>
      </c>
      <c r="E27" s="318"/>
      <c r="F27" s="318"/>
      <c r="G27" s="322"/>
      <c r="H27" s="322"/>
      <c r="I27" s="906"/>
      <c r="J27" s="323"/>
      <c r="K27" s="324"/>
      <c r="L27" s="324"/>
      <c r="M27" s="324"/>
      <c r="N27" s="325"/>
      <c r="P27" s="1054"/>
      <c r="Q27" s="1054"/>
      <c r="R27" s="1054"/>
    </row>
    <row r="28" spans="1:17" s="326" customFormat="1" ht="15.75">
      <c r="A28" s="907" t="s">
        <v>512</v>
      </c>
      <c r="B28" s="508" t="s">
        <v>513</v>
      </c>
      <c r="C28" s="533">
        <v>42491</v>
      </c>
      <c r="D28" s="533">
        <v>42979</v>
      </c>
      <c r="E28" s="503">
        <v>42614</v>
      </c>
      <c r="F28" s="503">
        <v>42614</v>
      </c>
      <c r="G28" s="322"/>
      <c r="H28" s="322"/>
      <c r="I28" s="906"/>
      <c r="J28" s="323"/>
      <c r="K28" s="324"/>
      <c r="L28" s="324"/>
      <c r="M28" s="324"/>
      <c r="N28" s="325"/>
      <c r="P28" s="329"/>
      <c r="Q28" s="329"/>
    </row>
    <row r="29" spans="1:17" s="326" customFormat="1" ht="28.5" customHeight="1">
      <c r="A29" s="907" t="s">
        <v>527</v>
      </c>
      <c r="B29" s="516" t="s">
        <v>528</v>
      </c>
      <c r="C29" s="533">
        <v>42491</v>
      </c>
      <c r="D29" s="533">
        <v>43374</v>
      </c>
      <c r="E29" s="455"/>
      <c r="F29" s="455"/>
      <c r="G29" s="322"/>
      <c r="H29" s="322"/>
      <c r="I29" s="906"/>
      <c r="J29" s="323"/>
      <c r="K29" s="324"/>
      <c r="L29" s="324"/>
      <c r="M29" s="324"/>
      <c r="N29" s="325"/>
      <c r="P29" s="905"/>
      <c r="Q29" s="328"/>
    </row>
    <row r="30" spans="1:17" s="326" customFormat="1" ht="25.5">
      <c r="A30" s="907" t="s">
        <v>514</v>
      </c>
      <c r="B30" s="508" t="s">
        <v>515</v>
      </c>
      <c r="C30" s="533">
        <v>42491</v>
      </c>
      <c r="D30" s="533">
        <v>43678</v>
      </c>
      <c r="E30" s="455"/>
      <c r="F30" s="455"/>
      <c r="G30" s="322"/>
      <c r="H30" s="322"/>
      <c r="I30" s="906"/>
      <c r="J30" s="323"/>
      <c r="K30" s="324"/>
      <c r="L30" s="324"/>
      <c r="M30" s="324"/>
      <c r="N30" s="325"/>
      <c r="P30" s="327"/>
      <c r="Q30" s="327"/>
    </row>
    <row r="31" spans="1:17" s="326" customFormat="1" ht="25.5" customHeight="1">
      <c r="A31" s="907" t="s">
        <v>516</v>
      </c>
      <c r="B31" s="508" t="s">
        <v>519</v>
      </c>
      <c r="C31" s="533">
        <v>43678</v>
      </c>
      <c r="D31" s="533">
        <v>43709</v>
      </c>
      <c r="E31" s="455"/>
      <c r="F31" s="455"/>
      <c r="G31" s="322"/>
      <c r="H31" s="322"/>
      <c r="I31" s="906"/>
      <c r="J31" s="323"/>
      <c r="K31" s="324"/>
      <c r="L31" s="324"/>
      <c r="M31" s="324"/>
      <c r="N31" s="325"/>
      <c r="P31" s="327"/>
      <c r="Q31" s="327"/>
    </row>
    <row r="32" spans="1:17" s="326" customFormat="1" ht="76.5">
      <c r="A32" s="907" t="s">
        <v>522</v>
      </c>
      <c r="B32" s="508" t="s">
        <v>523</v>
      </c>
      <c r="C32" s="533">
        <v>43709</v>
      </c>
      <c r="D32" s="533">
        <v>43709</v>
      </c>
      <c r="E32" s="455"/>
      <c r="F32" s="455"/>
      <c r="G32" s="322"/>
      <c r="H32" s="322"/>
      <c r="I32" s="906"/>
      <c r="J32" s="323"/>
      <c r="K32" s="324"/>
      <c r="L32" s="324"/>
      <c r="M32" s="324"/>
      <c r="N32" s="325"/>
      <c r="P32" s="327"/>
      <c r="Q32" s="327"/>
    </row>
    <row r="33" ht="15.75">
      <c r="B33" s="321"/>
    </row>
    <row r="34" spans="1:2" ht="15.75">
      <c r="A34" s="108" t="s">
        <v>524</v>
      </c>
      <c r="B34" s="321"/>
    </row>
    <row r="36" spans="3:9" ht="15.75">
      <c r="C36" s="1033" t="s">
        <v>757</v>
      </c>
      <c r="D36" s="1033"/>
      <c r="E36" s="1033"/>
      <c r="F36" s="1033"/>
      <c r="G36" s="1033"/>
      <c r="H36" s="1033"/>
      <c r="I36" s="1033"/>
    </row>
    <row r="39" spans="1:14" ht="15.75">
      <c r="A39" s="427"/>
      <c r="B39" s="427"/>
      <c r="C39" s="427"/>
      <c r="D39" s="427"/>
      <c r="E39" s="427"/>
      <c r="F39" s="427"/>
      <c r="G39" s="427"/>
      <c r="H39" s="427"/>
      <c r="I39" s="427"/>
      <c r="J39" s="427"/>
      <c r="K39" s="427"/>
      <c r="L39" s="427"/>
      <c r="M39" s="427"/>
      <c r="N39" s="427"/>
    </row>
    <row r="40" spans="1:14" ht="15.75">
      <c r="A40" s="427"/>
      <c r="B40" s="427"/>
      <c r="C40" s="427"/>
      <c r="D40" s="427"/>
      <c r="E40" s="427"/>
      <c r="F40" s="427"/>
      <c r="G40" s="427"/>
      <c r="H40" s="427"/>
      <c r="I40" s="427"/>
      <c r="J40" s="427"/>
      <c r="K40" s="427"/>
      <c r="L40" s="427"/>
      <c r="M40" s="427"/>
      <c r="N40" s="427"/>
    </row>
    <row r="41" spans="1:14" ht="15.75">
      <c r="A41" s="427"/>
      <c r="B41" s="427"/>
      <c r="C41" s="427"/>
      <c r="D41" s="427"/>
      <c r="E41" s="427"/>
      <c r="F41" s="427"/>
      <c r="G41" s="427"/>
      <c r="H41" s="427"/>
      <c r="I41" s="427"/>
      <c r="J41" s="427"/>
      <c r="K41" s="427"/>
      <c r="L41" s="427"/>
      <c r="M41" s="427"/>
      <c r="N41" s="427"/>
    </row>
    <row r="42" spans="1:14" ht="15.75">
      <c r="A42" s="427"/>
      <c r="B42" s="427"/>
      <c r="C42" s="427"/>
      <c r="D42" s="427"/>
      <c r="E42" s="427"/>
      <c r="F42" s="427"/>
      <c r="G42" s="427"/>
      <c r="H42" s="427"/>
      <c r="I42" s="427"/>
      <c r="J42" s="427"/>
      <c r="K42" s="427"/>
      <c r="L42" s="427"/>
      <c r="M42" s="427"/>
      <c r="N42" s="427"/>
    </row>
    <row r="43" spans="1:14" ht="15.75">
      <c r="A43" s="427"/>
      <c r="B43" s="427"/>
      <c r="C43" s="427"/>
      <c r="D43" s="427"/>
      <c r="E43" s="427"/>
      <c r="F43" s="427"/>
      <c r="G43" s="427"/>
      <c r="H43" s="427"/>
      <c r="I43" s="427"/>
      <c r="J43" s="427"/>
      <c r="K43" s="427"/>
      <c r="L43" s="427"/>
      <c r="M43" s="427"/>
      <c r="N43" s="427"/>
    </row>
    <row r="44" spans="1:14" ht="15.75">
      <c r="A44" s="427"/>
      <c r="B44" s="427"/>
      <c r="C44" s="427"/>
      <c r="D44" s="427"/>
      <c r="E44" s="427"/>
      <c r="F44" s="427"/>
      <c r="G44" s="427"/>
      <c r="H44" s="427"/>
      <c r="I44" s="427"/>
      <c r="J44" s="427"/>
      <c r="K44" s="427"/>
      <c r="L44" s="427"/>
      <c r="M44" s="427"/>
      <c r="N44" s="427"/>
    </row>
    <row r="45" spans="1:14" ht="15.75">
      <c r="A45" s="427"/>
      <c r="B45" s="427"/>
      <c r="C45" s="427"/>
      <c r="D45" s="427"/>
      <c r="E45" s="427"/>
      <c r="F45" s="427"/>
      <c r="G45" s="427"/>
      <c r="H45" s="427"/>
      <c r="I45" s="427"/>
      <c r="J45" s="427"/>
      <c r="K45" s="427"/>
      <c r="L45" s="427"/>
      <c r="M45" s="427"/>
      <c r="N45" s="427"/>
    </row>
    <row r="46" spans="1:14" ht="15.75">
      <c r="A46" s="427"/>
      <c r="B46" s="427"/>
      <c r="C46" s="427"/>
      <c r="D46" s="427"/>
      <c r="E46" s="427"/>
      <c r="F46" s="427"/>
      <c r="G46" s="427"/>
      <c r="H46" s="427"/>
      <c r="I46" s="427"/>
      <c r="J46" s="427"/>
      <c r="K46" s="427"/>
      <c r="L46" s="427"/>
      <c r="M46" s="427"/>
      <c r="N46" s="427"/>
    </row>
    <row r="47" spans="1:14" ht="15.75">
      <c r="A47" s="427"/>
      <c r="B47" s="427"/>
      <c r="C47" s="427"/>
      <c r="D47" s="427"/>
      <c r="E47" s="427"/>
      <c r="F47" s="427"/>
      <c r="G47" s="427"/>
      <c r="H47" s="427"/>
      <c r="I47" s="427"/>
      <c r="J47" s="427"/>
      <c r="K47" s="427"/>
      <c r="L47" s="427"/>
      <c r="M47" s="427"/>
      <c r="N47" s="427"/>
    </row>
    <row r="48" spans="1:14" ht="15.75">
      <c r="A48" s="427"/>
      <c r="B48" s="427"/>
      <c r="C48" s="427"/>
      <c r="D48" s="427"/>
      <c r="E48" s="427"/>
      <c r="F48" s="427"/>
      <c r="G48" s="427"/>
      <c r="H48" s="427"/>
      <c r="I48" s="427"/>
      <c r="J48" s="427"/>
      <c r="K48" s="427"/>
      <c r="L48" s="427"/>
      <c r="M48" s="427"/>
      <c r="N48" s="427"/>
    </row>
    <row r="49" spans="1:14" ht="15.75">
      <c r="A49" s="427"/>
      <c r="B49" s="427"/>
      <c r="C49" s="427"/>
      <c r="D49" s="427"/>
      <c r="E49" s="427"/>
      <c r="F49" s="427"/>
      <c r="G49" s="427"/>
      <c r="H49" s="427"/>
      <c r="I49" s="427"/>
      <c r="J49" s="427"/>
      <c r="K49" s="427"/>
      <c r="L49" s="427"/>
      <c r="M49" s="427"/>
      <c r="N49" s="427"/>
    </row>
    <row r="50" spans="1:14" ht="15.75">
      <c r="A50" s="427"/>
      <c r="B50" s="427"/>
      <c r="C50" s="427"/>
      <c r="D50" s="427"/>
      <c r="E50" s="427"/>
      <c r="F50" s="427"/>
      <c r="G50" s="427"/>
      <c r="H50" s="427"/>
      <c r="I50" s="427"/>
      <c r="J50" s="427"/>
      <c r="K50" s="427"/>
      <c r="L50" s="427"/>
      <c r="M50" s="427"/>
      <c r="N50" s="427"/>
    </row>
    <row r="51" spans="1:14" ht="15.75">
      <c r="A51" s="427"/>
      <c r="B51" s="427"/>
      <c r="C51" s="427"/>
      <c r="D51" s="427"/>
      <c r="E51" s="427"/>
      <c r="F51" s="427"/>
      <c r="G51" s="427"/>
      <c r="H51" s="427"/>
      <c r="I51" s="427"/>
      <c r="J51" s="427"/>
      <c r="K51" s="427"/>
      <c r="L51" s="427"/>
      <c r="M51" s="427"/>
      <c r="N51" s="427"/>
    </row>
    <row r="52" spans="1:14" ht="15.75">
      <c r="A52" s="427"/>
      <c r="B52" s="427"/>
      <c r="C52" s="427"/>
      <c r="D52" s="427"/>
      <c r="E52" s="427"/>
      <c r="F52" s="427"/>
      <c r="G52" s="427"/>
      <c r="H52" s="427"/>
      <c r="I52" s="427"/>
      <c r="J52" s="427"/>
      <c r="K52" s="427"/>
      <c r="L52" s="427"/>
      <c r="M52" s="427"/>
      <c r="N52" s="427"/>
    </row>
    <row r="53" spans="1:14" ht="15.75">
      <c r="A53" s="427"/>
      <c r="B53" s="427"/>
      <c r="C53" s="427"/>
      <c r="D53" s="427"/>
      <c r="E53" s="427"/>
      <c r="F53" s="427"/>
      <c r="G53" s="427"/>
      <c r="H53" s="427"/>
      <c r="I53" s="427"/>
      <c r="J53" s="427"/>
      <c r="K53" s="427"/>
      <c r="L53" s="427"/>
      <c r="M53" s="427"/>
      <c r="N53" s="427"/>
    </row>
    <row r="54" spans="1:14" ht="15.75">
      <c r="A54" s="427"/>
      <c r="B54" s="427"/>
      <c r="C54" s="427"/>
      <c r="D54" s="427"/>
      <c r="E54" s="427"/>
      <c r="F54" s="427"/>
      <c r="G54" s="427"/>
      <c r="H54" s="427"/>
      <c r="I54" s="427"/>
      <c r="J54" s="427"/>
      <c r="K54" s="427"/>
      <c r="L54" s="427"/>
      <c r="M54" s="427"/>
      <c r="N54" s="427"/>
    </row>
    <row r="55" spans="1:9" ht="15.75">
      <c r="A55" s="427"/>
      <c r="B55" s="427"/>
      <c r="C55" s="427"/>
      <c r="D55" s="427"/>
      <c r="E55" s="427"/>
      <c r="F55" s="427"/>
      <c r="G55" s="427"/>
      <c r="H55" s="427"/>
      <c r="I55" s="427"/>
    </row>
    <row r="56" spans="1:9" ht="15.75">
      <c r="A56" s="427"/>
      <c r="B56" s="427"/>
      <c r="C56" s="427"/>
      <c r="D56" s="427"/>
      <c r="E56" s="427"/>
      <c r="F56" s="427"/>
      <c r="G56" s="427"/>
      <c r="H56" s="427"/>
      <c r="I56" s="427"/>
    </row>
    <row r="57" spans="1:9" ht="15.75">
      <c r="A57" s="427"/>
      <c r="B57" s="427"/>
      <c r="C57" s="427"/>
      <c r="D57" s="427"/>
      <c r="E57" s="427"/>
      <c r="F57" s="427"/>
      <c r="G57" s="427"/>
      <c r="H57" s="427"/>
      <c r="I57" s="427"/>
    </row>
    <row r="58" spans="1:9" ht="15.75">
      <c r="A58" s="427"/>
      <c r="B58" s="427"/>
      <c r="C58" s="427"/>
      <c r="D58" s="427"/>
      <c r="E58" s="427"/>
      <c r="F58" s="427"/>
      <c r="G58" s="427"/>
      <c r="H58" s="427"/>
      <c r="I58" s="427"/>
    </row>
    <row r="59" spans="1:9" ht="15.75">
      <c r="A59" s="427"/>
      <c r="B59" s="427"/>
      <c r="C59" s="427"/>
      <c r="D59" s="427"/>
      <c r="E59" s="427"/>
      <c r="F59" s="427"/>
      <c r="G59" s="427"/>
      <c r="H59" s="427"/>
      <c r="I59" s="427"/>
    </row>
    <row r="60" spans="1:9" ht="15.75">
      <c r="A60" s="427"/>
      <c r="B60" s="427"/>
      <c r="C60" s="427"/>
      <c r="D60" s="427"/>
      <c r="E60" s="427"/>
      <c r="F60" s="427"/>
      <c r="G60" s="427"/>
      <c r="H60" s="427"/>
      <c r="I60" s="427"/>
    </row>
    <row r="61" spans="1:9" ht="15.75">
      <c r="A61" s="427"/>
      <c r="B61" s="427"/>
      <c r="C61" s="427"/>
      <c r="D61" s="427"/>
      <c r="E61" s="427"/>
      <c r="F61" s="427"/>
      <c r="G61" s="427"/>
      <c r="H61" s="427"/>
      <c r="I61" s="427"/>
    </row>
  </sheetData>
  <sheetProtection/>
  <mergeCells count="20">
    <mergeCell ref="A11:N11"/>
    <mergeCell ref="A12:N12"/>
    <mergeCell ref="A13:I13"/>
    <mergeCell ref="A15:I15"/>
    <mergeCell ref="A16:A20"/>
    <mergeCell ref="B16:B20"/>
    <mergeCell ref="C16:F16"/>
    <mergeCell ref="G16:G20"/>
    <mergeCell ref="H16:H20"/>
    <mergeCell ref="I16:I20"/>
    <mergeCell ref="J21:N21"/>
    <mergeCell ref="P27:R27"/>
    <mergeCell ref="C36:I36"/>
    <mergeCell ref="J16:N20"/>
    <mergeCell ref="C17:D17"/>
    <mergeCell ref="E17:F17"/>
    <mergeCell ref="C18:C20"/>
    <mergeCell ref="D18:D20"/>
    <mergeCell ref="E18:E20"/>
    <mergeCell ref="F18:F20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66"/>
  <sheetViews>
    <sheetView view="pageBreakPreview" zoomScale="65" zoomScaleNormal="80" zoomScaleSheetLayoutView="65" zoomScalePageLayoutView="0" workbookViewId="0" topLeftCell="A18">
      <selection activeCell="A30" sqref="A30"/>
    </sheetView>
  </sheetViews>
  <sheetFormatPr defaultColWidth="9.00390625" defaultRowHeight="15.75"/>
  <cols>
    <col min="1" max="1" width="13.875" style="108" customWidth="1"/>
    <col min="2" max="2" width="31.75390625" style="311" customWidth="1"/>
    <col min="3" max="6" width="11.75390625" style="311" customWidth="1"/>
    <col min="7" max="8" width="20.00390625" style="311" customWidth="1"/>
    <col min="9" max="9" width="15.625" style="311" customWidth="1"/>
    <col min="10" max="14" width="7.875" style="311" customWidth="1"/>
    <col min="15" max="15" width="9.00390625" style="311" customWidth="1"/>
    <col min="16" max="16384" width="9.00390625" style="108" customWidth="1"/>
  </cols>
  <sheetData>
    <row r="1" spans="1:14" ht="15.75">
      <c r="A1" s="311"/>
      <c r="B1" s="312"/>
      <c r="C1" s="312"/>
      <c r="D1" s="312"/>
      <c r="E1" s="312"/>
      <c r="F1" s="312"/>
      <c r="G1" s="312"/>
      <c r="H1" s="312"/>
      <c r="I1" s="312"/>
      <c r="N1" s="302" t="s">
        <v>486</v>
      </c>
    </row>
    <row r="2" spans="1:14" ht="18.75" customHeight="1">
      <c r="A2" s="311"/>
      <c r="B2" s="312"/>
      <c r="C2" s="312"/>
      <c r="D2" s="312"/>
      <c r="E2" s="312"/>
      <c r="F2" s="312"/>
      <c r="G2" s="312"/>
      <c r="H2" s="312"/>
      <c r="I2" s="312"/>
      <c r="N2" s="302" t="s">
        <v>37</v>
      </c>
    </row>
    <row r="3" spans="1:14" ht="15.75">
      <c r="A3" s="311"/>
      <c r="B3" s="312"/>
      <c r="C3" s="312"/>
      <c r="D3" s="312"/>
      <c r="E3" s="312"/>
      <c r="F3" s="312"/>
      <c r="G3" s="312"/>
      <c r="H3" s="312"/>
      <c r="I3" s="312"/>
      <c r="N3" s="289" t="s">
        <v>379</v>
      </c>
    </row>
    <row r="4" spans="1:14" ht="15.75">
      <c r="A4" s="311"/>
      <c r="B4" s="312"/>
      <c r="C4" s="312"/>
      <c r="D4" s="312"/>
      <c r="E4" s="312"/>
      <c r="F4" s="312"/>
      <c r="G4" s="312"/>
      <c r="H4" s="312"/>
      <c r="I4" s="312"/>
      <c r="N4" s="302"/>
    </row>
    <row r="5" spans="13:14" s="303" customFormat="1" ht="15.75">
      <c r="M5" s="301"/>
      <c r="N5" s="109" t="s">
        <v>38</v>
      </c>
    </row>
    <row r="6" spans="13:14" s="303" customFormat="1" ht="15.75">
      <c r="M6" s="301"/>
      <c r="N6" s="109" t="s">
        <v>647</v>
      </c>
    </row>
    <row r="7" spans="13:14" s="303" customFormat="1" ht="15.75">
      <c r="M7" s="301"/>
      <c r="N7" s="109"/>
    </row>
    <row r="8" spans="13:14" s="303" customFormat="1" ht="15.75">
      <c r="M8" s="301"/>
      <c r="N8" s="109" t="s">
        <v>648</v>
      </c>
    </row>
    <row r="9" spans="13:14" s="303" customFormat="1" ht="15.75">
      <c r="M9" s="301"/>
      <c r="N9" s="109" t="s">
        <v>795</v>
      </c>
    </row>
    <row r="10" spans="13:14" s="303" customFormat="1" ht="15.75">
      <c r="M10" s="301"/>
      <c r="N10" s="109" t="s">
        <v>42</v>
      </c>
    </row>
    <row r="11" spans="1:14" ht="33" customHeight="1">
      <c r="A11" s="1015" t="s">
        <v>791</v>
      </c>
      <c r="B11" s="1016"/>
      <c r="C11" s="1016"/>
      <c r="D11" s="1016"/>
      <c r="E11" s="1016"/>
      <c r="F11" s="1016"/>
      <c r="G11" s="1016"/>
      <c r="H11" s="1016"/>
      <c r="I11" s="1016"/>
      <c r="J11" s="1016"/>
      <c r="K11" s="1016"/>
      <c r="L11" s="1016"/>
      <c r="M11" s="1016"/>
      <c r="N11" s="1016"/>
    </row>
    <row r="12" spans="1:14" ht="38.25" customHeight="1">
      <c r="A12" s="1017" t="s">
        <v>660</v>
      </c>
      <c r="B12" s="1017"/>
      <c r="C12" s="1017"/>
      <c r="D12" s="1017"/>
      <c r="E12" s="1017"/>
      <c r="F12" s="1017"/>
      <c r="G12" s="1017"/>
      <c r="H12" s="1017"/>
      <c r="I12" s="1017"/>
      <c r="J12" s="1017"/>
      <c r="K12" s="1017"/>
      <c r="L12" s="1017"/>
      <c r="M12" s="1017"/>
      <c r="N12" s="1017"/>
    </row>
    <row r="13" spans="1:9" ht="15.75" customHeight="1">
      <c r="A13" s="1018" t="s">
        <v>796</v>
      </c>
      <c r="B13" s="1018"/>
      <c r="C13" s="1018"/>
      <c r="D13" s="1018"/>
      <c r="E13" s="1018"/>
      <c r="F13" s="1018"/>
      <c r="G13" s="1018"/>
      <c r="H13" s="1018"/>
      <c r="I13" s="1018"/>
    </row>
    <row r="14" spans="1:9" ht="15.75">
      <c r="A14" s="312"/>
      <c r="B14" s="312"/>
      <c r="C14" s="312"/>
      <c r="D14" s="312"/>
      <c r="E14" s="312"/>
      <c r="F14" s="312"/>
      <c r="G14" s="312"/>
      <c r="H14" s="312"/>
      <c r="I14" s="312"/>
    </row>
    <row r="15" spans="1:9" ht="16.5" customHeight="1" thickBot="1">
      <c r="A15" s="1019" t="s">
        <v>797</v>
      </c>
      <c r="B15" s="1019"/>
      <c r="C15" s="1020"/>
      <c r="D15" s="1020"/>
      <c r="E15" s="1020"/>
      <c r="F15" s="1020"/>
      <c r="G15" s="1020"/>
      <c r="H15" s="1020"/>
      <c r="I15" s="1020"/>
    </row>
    <row r="16" spans="1:14" ht="30.75" customHeight="1">
      <c r="A16" s="1021" t="s">
        <v>487</v>
      </c>
      <c r="B16" s="1023" t="s">
        <v>488</v>
      </c>
      <c r="C16" s="1023" t="s">
        <v>489</v>
      </c>
      <c r="D16" s="1023"/>
      <c r="E16" s="1023"/>
      <c r="F16" s="1023"/>
      <c r="G16" s="1023" t="s">
        <v>490</v>
      </c>
      <c r="H16" s="1023" t="s">
        <v>491</v>
      </c>
      <c r="I16" s="1025" t="s">
        <v>492</v>
      </c>
      <c r="J16" s="1034" t="s">
        <v>493</v>
      </c>
      <c r="K16" s="1035"/>
      <c r="L16" s="1035"/>
      <c r="M16" s="1035"/>
      <c r="N16" s="1036"/>
    </row>
    <row r="17" spans="1:14" ht="15.75">
      <c r="A17" s="1022"/>
      <c r="B17" s="1003"/>
      <c r="C17" s="1003" t="s">
        <v>494</v>
      </c>
      <c r="D17" s="1003"/>
      <c r="E17" s="1003" t="s">
        <v>495</v>
      </c>
      <c r="F17" s="1003"/>
      <c r="G17" s="1003"/>
      <c r="H17" s="1003"/>
      <c r="I17" s="1026"/>
      <c r="J17" s="1037"/>
      <c r="K17" s="1038"/>
      <c r="L17" s="1038"/>
      <c r="M17" s="1038"/>
      <c r="N17" s="1039"/>
    </row>
    <row r="18" spans="1:14" ht="15.75">
      <c r="A18" s="1022"/>
      <c r="B18" s="1003"/>
      <c r="C18" s="1046" t="s">
        <v>496</v>
      </c>
      <c r="D18" s="1046" t="s">
        <v>497</v>
      </c>
      <c r="E18" s="1046" t="s">
        <v>496</v>
      </c>
      <c r="F18" s="1046" t="s">
        <v>497</v>
      </c>
      <c r="G18" s="1003"/>
      <c r="H18" s="1003"/>
      <c r="I18" s="1026"/>
      <c r="J18" s="1040"/>
      <c r="K18" s="1041"/>
      <c r="L18" s="1041"/>
      <c r="M18" s="1041"/>
      <c r="N18" s="1042"/>
    </row>
    <row r="19" spans="1:14" ht="15.75">
      <c r="A19" s="1022"/>
      <c r="B19" s="1024"/>
      <c r="C19" s="1047"/>
      <c r="D19" s="1047"/>
      <c r="E19" s="1047"/>
      <c r="F19" s="1047"/>
      <c r="G19" s="1003"/>
      <c r="H19" s="1003"/>
      <c r="I19" s="1026"/>
      <c r="J19" s="1040"/>
      <c r="K19" s="1041"/>
      <c r="L19" s="1041"/>
      <c r="M19" s="1041"/>
      <c r="N19" s="1042"/>
    </row>
    <row r="20" spans="1:14" ht="15.75">
      <c r="A20" s="1022"/>
      <c r="B20" s="1003"/>
      <c r="C20" s="1048"/>
      <c r="D20" s="1048"/>
      <c r="E20" s="1048"/>
      <c r="F20" s="1048"/>
      <c r="G20" s="1003"/>
      <c r="H20" s="1003"/>
      <c r="I20" s="1026"/>
      <c r="J20" s="1043"/>
      <c r="K20" s="1044"/>
      <c r="L20" s="1044"/>
      <c r="M20" s="1044"/>
      <c r="N20" s="1045"/>
    </row>
    <row r="21" spans="1:14" ht="16.5" thickBot="1">
      <c r="A21" s="313">
        <v>1</v>
      </c>
      <c r="B21" s="314">
        <v>2</v>
      </c>
      <c r="C21" s="314">
        <v>3</v>
      </c>
      <c r="D21" s="314">
        <v>4</v>
      </c>
      <c r="E21" s="314">
        <v>5</v>
      </c>
      <c r="F21" s="314">
        <v>6</v>
      </c>
      <c r="G21" s="314">
        <v>8</v>
      </c>
      <c r="H21" s="314">
        <v>9</v>
      </c>
      <c r="I21" s="314">
        <v>10</v>
      </c>
      <c r="J21" s="1027">
        <v>11</v>
      </c>
      <c r="K21" s="1028"/>
      <c r="L21" s="1028"/>
      <c r="M21" s="1028"/>
      <c r="N21" s="1029"/>
    </row>
    <row r="22" spans="1:14" s="326" customFormat="1" ht="15.75">
      <c r="A22" s="316" t="s">
        <v>498</v>
      </c>
      <c r="B22" s="317" t="s">
        <v>499</v>
      </c>
      <c r="C22" s="318">
        <v>41640</v>
      </c>
      <c r="D22" s="318">
        <v>41699</v>
      </c>
      <c r="E22" s="455">
        <v>41640</v>
      </c>
      <c r="F22" s="455">
        <v>41699</v>
      </c>
      <c r="G22" s="322">
        <v>100</v>
      </c>
      <c r="H22" s="322">
        <v>100</v>
      </c>
      <c r="I22" s="322"/>
      <c r="J22" s="323"/>
      <c r="K22" s="324"/>
      <c r="L22" s="324"/>
      <c r="M22" s="324"/>
      <c r="N22" s="325"/>
    </row>
    <row r="23" spans="1:14" s="326" customFormat="1" ht="27.75" customHeight="1">
      <c r="A23" s="316" t="s">
        <v>525</v>
      </c>
      <c r="B23" s="317" t="s">
        <v>526</v>
      </c>
      <c r="C23" s="318">
        <v>41699</v>
      </c>
      <c r="D23" s="318">
        <v>41730</v>
      </c>
      <c r="E23" s="455">
        <v>41699</v>
      </c>
      <c r="F23" s="455">
        <v>41730</v>
      </c>
      <c r="G23" s="322">
        <v>100</v>
      </c>
      <c r="H23" s="322">
        <v>100</v>
      </c>
      <c r="I23" s="322"/>
      <c r="J23" s="323"/>
      <c r="K23" s="324"/>
      <c r="L23" s="324"/>
      <c r="M23" s="324"/>
      <c r="N23" s="325"/>
    </row>
    <row r="24" spans="1:17" s="326" customFormat="1" ht="25.5">
      <c r="A24" s="316" t="s">
        <v>500</v>
      </c>
      <c r="B24" s="317" t="s">
        <v>501</v>
      </c>
      <c r="C24" s="318"/>
      <c r="D24" s="318"/>
      <c r="E24" s="455"/>
      <c r="F24" s="455"/>
      <c r="G24" s="322"/>
      <c r="H24" s="322"/>
      <c r="I24" s="322"/>
      <c r="J24" s="323"/>
      <c r="K24" s="324"/>
      <c r="L24" s="324"/>
      <c r="M24" s="324"/>
      <c r="N24" s="325"/>
      <c r="P24" s="327"/>
      <c r="Q24" s="327"/>
    </row>
    <row r="25" spans="1:17" s="326" customFormat="1" ht="15.75">
      <c r="A25" s="316" t="s">
        <v>502</v>
      </c>
      <c r="B25" s="317" t="s">
        <v>503</v>
      </c>
      <c r="C25" s="318">
        <v>41760</v>
      </c>
      <c r="D25" s="318">
        <v>41883</v>
      </c>
      <c r="E25" s="455">
        <v>41760</v>
      </c>
      <c r="F25" s="455">
        <v>41852</v>
      </c>
      <c r="G25" s="322">
        <v>100</v>
      </c>
      <c r="H25" s="322">
        <v>100</v>
      </c>
      <c r="I25" s="322"/>
      <c r="J25" s="323"/>
      <c r="K25" s="324"/>
      <c r="L25" s="324"/>
      <c r="M25" s="324"/>
      <c r="N25" s="325"/>
      <c r="P25" s="328"/>
      <c r="Q25" s="328"/>
    </row>
    <row r="26" spans="1:17" s="326" customFormat="1" ht="29.25" customHeight="1" hidden="1">
      <c r="A26" s="316" t="s">
        <v>504</v>
      </c>
      <c r="B26" s="457" t="s">
        <v>505</v>
      </c>
      <c r="C26" s="318">
        <v>41883</v>
      </c>
      <c r="D26" s="318">
        <v>41944</v>
      </c>
      <c r="E26" s="455">
        <v>41883</v>
      </c>
      <c r="F26" s="455">
        <v>41883</v>
      </c>
      <c r="G26" s="322">
        <v>100</v>
      </c>
      <c r="H26" s="322">
        <v>100</v>
      </c>
      <c r="I26" s="322"/>
      <c r="J26" s="323"/>
      <c r="K26" s="324"/>
      <c r="L26" s="324"/>
      <c r="M26" s="324"/>
      <c r="N26" s="325"/>
      <c r="P26" s="328"/>
      <c r="Q26" s="328"/>
    </row>
    <row r="27" spans="1:17" s="326" customFormat="1" ht="38.25">
      <c r="A27" s="316" t="s">
        <v>506</v>
      </c>
      <c r="B27" s="317" t="s">
        <v>507</v>
      </c>
      <c r="C27" s="318">
        <v>41944</v>
      </c>
      <c r="D27" s="318">
        <v>42005</v>
      </c>
      <c r="E27" s="455">
        <v>41883</v>
      </c>
      <c r="F27" s="455">
        <v>41883</v>
      </c>
      <c r="G27" s="322">
        <v>100</v>
      </c>
      <c r="H27" s="322">
        <v>100</v>
      </c>
      <c r="I27" s="322"/>
      <c r="J27" s="323"/>
      <c r="K27" s="324"/>
      <c r="L27" s="324"/>
      <c r="M27" s="324"/>
      <c r="N27" s="325"/>
      <c r="P27" s="328"/>
      <c r="Q27" s="328"/>
    </row>
    <row r="28" spans="1:17" s="326" customFormat="1" ht="38.25">
      <c r="A28" s="316" t="s">
        <v>508</v>
      </c>
      <c r="B28" s="317" t="s">
        <v>509</v>
      </c>
      <c r="C28" s="318">
        <v>42005</v>
      </c>
      <c r="D28" s="318">
        <v>42064</v>
      </c>
      <c r="E28" s="455">
        <v>41944</v>
      </c>
      <c r="F28" s="455">
        <v>42186</v>
      </c>
      <c r="G28" s="322">
        <v>100</v>
      </c>
      <c r="H28" s="322">
        <v>100</v>
      </c>
      <c r="I28" s="322"/>
      <c r="J28" s="323"/>
      <c r="K28" s="324"/>
      <c r="L28" s="324"/>
      <c r="M28" s="324"/>
      <c r="N28" s="325"/>
      <c r="P28" s="329"/>
      <c r="Q28" s="329"/>
    </row>
    <row r="29" spans="1:17" s="326" customFormat="1" ht="25.5">
      <c r="A29" s="316" t="s">
        <v>510</v>
      </c>
      <c r="B29" s="317" t="s">
        <v>511</v>
      </c>
      <c r="C29" s="318">
        <v>42064</v>
      </c>
      <c r="D29" s="318">
        <v>42095</v>
      </c>
      <c r="E29" s="455">
        <v>41883</v>
      </c>
      <c r="F29" s="455">
        <v>41883</v>
      </c>
      <c r="G29" s="322">
        <v>100</v>
      </c>
      <c r="H29" s="322">
        <v>100</v>
      </c>
      <c r="I29" s="322"/>
      <c r="J29" s="323"/>
      <c r="K29" s="324"/>
      <c r="L29" s="324"/>
      <c r="M29" s="324"/>
      <c r="N29" s="325"/>
      <c r="P29" s="328"/>
      <c r="Q29" s="328"/>
    </row>
    <row r="30" spans="1:17" s="326" customFormat="1" ht="15.75">
      <c r="A30" s="316" t="s">
        <v>512</v>
      </c>
      <c r="B30" s="317" t="s">
        <v>513</v>
      </c>
      <c r="C30" s="318">
        <v>42125</v>
      </c>
      <c r="D30" s="318">
        <v>42125</v>
      </c>
      <c r="E30" s="455">
        <v>41883</v>
      </c>
      <c r="F30" s="455">
        <v>41883</v>
      </c>
      <c r="G30" s="322">
        <v>100</v>
      </c>
      <c r="H30" s="322">
        <v>100</v>
      </c>
      <c r="I30" s="322"/>
      <c r="J30" s="323"/>
      <c r="K30" s="324"/>
      <c r="L30" s="324"/>
      <c r="M30" s="324"/>
      <c r="N30" s="325"/>
      <c r="P30" s="327"/>
      <c r="Q30" s="327"/>
    </row>
    <row r="31" spans="1:17" s="326" customFormat="1" ht="69" customHeight="1">
      <c r="A31" s="316" t="s">
        <v>527</v>
      </c>
      <c r="B31" s="317" t="s">
        <v>528</v>
      </c>
      <c r="C31" s="318">
        <v>42156</v>
      </c>
      <c r="D31" s="318">
        <v>42217</v>
      </c>
      <c r="E31" s="455">
        <v>41883</v>
      </c>
      <c r="F31" s="455">
        <v>41944</v>
      </c>
      <c r="G31" s="322">
        <v>100</v>
      </c>
      <c r="H31" s="322">
        <v>100</v>
      </c>
      <c r="I31" s="322"/>
      <c r="J31" s="323"/>
      <c r="K31" s="324"/>
      <c r="L31" s="324"/>
      <c r="M31" s="324"/>
      <c r="N31" s="325"/>
      <c r="P31" s="327"/>
      <c r="Q31" s="327"/>
    </row>
    <row r="32" spans="1:17" s="326" customFormat="1" ht="25.5">
      <c r="A32" s="316" t="s">
        <v>514</v>
      </c>
      <c r="B32" s="317" t="s">
        <v>515</v>
      </c>
      <c r="C32" s="318">
        <v>42186</v>
      </c>
      <c r="D32" s="318">
        <v>42217</v>
      </c>
      <c r="E32" s="455">
        <v>41883</v>
      </c>
      <c r="F32" s="455">
        <v>41944</v>
      </c>
      <c r="G32" s="322">
        <v>100</v>
      </c>
      <c r="H32" s="322">
        <v>100</v>
      </c>
      <c r="I32" s="322"/>
      <c r="J32" s="323"/>
      <c r="K32" s="324"/>
      <c r="L32" s="324"/>
      <c r="M32" s="324"/>
      <c r="N32" s="325"/>
      <c r="P32" s="327"/>
      <c r="Q32" s="327"/>
    </row>
    <row r="33" spans="1:17" s="326" customFormat="1" ht="25.5" hidden="1">
      <c r="A33" s="316" t="s">
        <v>516</v>
      </c>
      <c r="B33" s="317" t="s">
        <v>517</v>
      </c>
      <c r="C33" s="318"/>
      <c r="D33" s="318"/>
      <c r="E33" s="455"/>
      <c r="F33" s="455"/>
      <c r="G33" s="322"/>
      <c r="H33" s="322"/>
      <c r="I33" s="322"/>
      <c r="J33" s="323"/>
      <c r="K33" s="324"/>
      <c r="L33" s="324"/>
      <c r="M33" s="324"/>
      <c r="N33" s="325"/>
      <c r="P33" s="330"/>
      <c r="Q33" s="330"/>
    </row>
    <row r="34" spans="1:17" s="326" customFormat="1" ht="38.25">
      <c r="A34" s="316" t="s">
        <v>518</v>
      </c>
      <c r="B34" s="317" t="s">
        <v>519</v>
      </c>
      <c r="C34" s="318">
        <v>42217</v>
      </c>
      <c r="D34" s="318">
        <v>42248</v>
      </c>
      <c r="E34" s="456">
        <v>41974</v>
      </c>
      <c r="F34" s="456">
        <v>42217</v>
      </c>
      <c r="G34" s="722">
        <v>100</v>
      </c>
      <c r="H34" s="722">
        <v>100</v>
      </c>
      <c r="I34" s="322"/>
      <c r="J34" s="323"/>
      <c r="K34" s="324"/>
      <c r="L34" s="324"/>
      <c r="M34" s="324"/>
      <c r="N34" s="325"/>
      <c r="P34" s="327"/>
      <c r="Q34" s="327"/>
    </row>
    <row r="35" spans="1:17" s="326" customFormat="1" ht="15.75" hidden="1">
      <c r="A35" s="316" t="s">
        <v>520</v>
      </c>
      <c r="B35" s="317" t="s">
        <v>521</v>
      </c>
      <c r="C35" s="318"/>
      <c r="D35" s="318"/>
      <c r="E35" s="456"/>
      <c r="F35" s="456"/>
      <c r="G35" s="322"/>
      <c r="H35" s="322"/>
      <c r="I35" s="322"/>
      <c r="J35" s="323"/>
      <c r="K35" s="324"/>
      <c r="L35" s="324"/>
      <c r="M35" s="324"/>
      <c r="N35" s="325"/>
      <c r="P35" s="327"/>
      <c r="Q35" s="327"/>
    </row>
    <row r="36" spans="1:17" s="326" customFormat="1" ht="79.5" customHeight="1" thickBot="1">
      <c r="A36" s="319" t="s">
        <v>522</v>
      </c>
      <c r="B36" s="320" t="s">
        <v>523</v>
      </c>
      <c r="C36" s="331">
        <v>42248</v>
      </c>
      <c r="D36" s="331">
        <v>42248</v>
      </c>
      <c r="E36" s="331">
        <v>42248</v>
      </c>
      <c r="F36" s="331">
        <v>42248</v>
      </c>
      <c r="G36" s="332">
        <v>100</v>
      </c>
      <c r="H36" s="332">
        <v>100</v>
      </c>
      <c r="I36" s="332"/>
      <c r="J36" s="333"/>
      <c r="K36" s="334"/>
      <c r="L36" s="334"/>
      <c r="M36" s="334"/>
      <c r="N36" s="335"/>
      <c r="P36" s="327"/>
      <c r="Q36" s="327"/>
    </row>
    <row r="37" ht="15.75">
      <c r="B37" s="321"/>
    </row>
    <row r="38" spans="1:2" ht="15.75">
      <c r="A38" s="108" t="s">
        <v>524</v>
      </c>
      <c r="B38" s="321"/>
    </row>
    <row r="40" spans="3:9" ht="15.75">
      <c r="C40" s="1033" t="str">
        <f>'11.1 (ГСМ склад с. Ср.Пахачи) '!C36:I36</f>
        <v>Начальник ПТО                                                                             С. А. Апекин</v>
      </c>
      <c r="D40" s="1033"/>
      <c r="E40" s="1033"/>
      <c r="F40" s="1033"/>
      <c r="G40" s="1033"/>
      <c r="H40" s="1033"/>
      <c r="I40" s="1033"/>
    </row>
    <row r="43" spans="1:14" ht="15.75">
      <c r="A43" s="427"/>
      <c r="B43" s="427"/>
      <c r="C43" s="427"/>
      <c r="D43" s="427"/>
      <c r="E43" s="427"/>
      <c r="F43" s="427"/>
      <c r="G43" s="427"/>
      <c r="H43" s="427"/>
      <c r="I43" s="427"/>
      <c r="J43" s="427"/>
      <c r="K43" s="427"/>
      <c r="L43" s="427"/>
      <c r="M43" s="427"/>
      <c r="N43" s="427"/>
    </row>
    <row r="44" spans="1:14" ht="15.75">
      <c r="A44" s="427"/>
      <c r="B44" s="427"/>
      <c r="C44" s="427"/>
      <c r="D44" s="427"/>
      <c r="E44" s="427"/>
      <c r="F44" s="427"/>
      <c r="G44" s="427"/>
      <c r="H44" s="427"/>
      <c r="I44" s="427"/>
      <c r="J44" s="427"/>
      <c r="K44" s="427"/>
      <c r="L44" s="427"/>
      <c r="M44" s="427"/>
      <c r="N44" s="427"/>
    </row>
    <row r="45" spans="1:14" ht="15.75">
      <c r="A45" s="427"/>
      <c r="B45" s="427"/>
      <c r="C45" s="427"/>
      <c r="D45" s="427"/>
      <c r="E45" s="427"/>
      <c r="F45" s="427"/>
      <c r="G45" s="427"/>
      <c r="H45" s="427"/>
      <c r="I45" s="427"/>
      <c r="J45" s="427"/>
      <c r="K45" s="427"/>
      <c r="L45" s="427"/>
      <c r="M45" s="427"/>
      <c r="N45" s="427"/>
    </row>
    <row r="46" spans="1:14" ht="15.75">
      <c r="A46" s="427"/>
      <c r="B46" s="427"/>
      <c r="C46" s="427"/>
      <c r="D46" s="427"/>
      <c r="E46" s="427"/>
      <c r="F46" s="427"/>
      <c r="G46" s="427"/>
      <c r="H46" s="427"/>
      <c r="I46" s="427"/>
      <c r="J46" s="427"/>
      <c r="K46" s="427"/>
      <c r="L46" s="427"/>
      <c r="M46" s="427"/>
      <c r="N46" s="427"/>
    </row>
    <row r="47" spans="1:14" ht="15.75">
      <c r="A47" s="427"/>
      <c r="B47" s="427"/>
      <c r="C47" s="427"/>
      <c r="D47" s="427"/>
      <c r="E47" s="427"/>
      <c r="F47" s="427"/>
      <c r="G47" s="427"/>
      <c r="H47" s="427"/>
      <c r="I47" s="427"/>
      <c r="J47" s="427"/>
      <c r="K47" s="427"/>
      <c r="L47" s="427"/>
      <c r="M47" s="427"/>
      <c r="N47" s="427"/>
    </row>
    <row r="48" spans="1:14" ht="15.75">
      <c r="A48" s="427"/>
      <c r="B48" s="427"/>
      <c r="C48" s="427"/>
      <c r="D48" s="427"/>
      <c r="E48" s="427"/>
      <c r="F48" s="427"/>
      <c r="G48" s="427"/>
      <c r="H48" s="427"/>
      <c r="I48" s="427"/>
      <c r="J48" s="427"/>
      <c r="K48" s="427"/>
      <c r="L48" s="427"/>
      <c r="M48" s="427"/>
      <c r="N48" s="427"/>
    </row>
    <row r="49" spans="1:14" ht="15.75">
      <c r="A49" s="427"/>
      <c r="B49" s="427"/>
      <c r="C49" s="427"/>
      <c r="D49" s="427"/>
      <c r="E49" s="427"/>
      <c r="F49" s="427"/>
      <c r="G49" s="427"/>
      <c r="H49" s="427"/>
      <c r="I49" s="427"/>
      <c r="J49" s="427"/>
      <c r="K49" s="427"/>
      <c r="L49" s="427"/>
      <c r="M49" s="427"/>
      <c r="N49" s="427"/>
    </row>
    <row r="50" spans="1:14" ht="15.75">
      <c r="A50" s="427"/>
      <c r="B50" s="427"/>
      <c r="C50" s="427"/>
      <c r="D50" s="427"/>
      <c r="E50" s="427"/>
      <c r="F50" s="427"/>
      <c r="G50" s="427"/>
      <c r="H50" s="427"/>
      <c r="I50" s="427"/>
      <c r="J50" s="427"/>
      <c r="K50" s="427"/>
      <c r="L50" s="427"/>
      <c r="M50" s="427"/>
      <c r="N50" s="427"/>
    </row>
    <row r="51" spans="1:14" ht="15.75">
      <c r="A51" s="427"/>
      <c r="B51" s="427"/>
      <c r="C51" s="427"/>
      <c r="D51" s="427"/>
      <c r="E51" s="427"/>
      <c r="F51" s="427"/>
      <c r="G51" s="427"/>
      <c r="H51" s="427"/>
      <c r="I51" s="427"/>
      <c r="J51" s="427"/>
      <c r="K51" s="427"/>
      <c r="L51" s="427"/>
      <c r="M51" s="427"/>
      <c r="N51" s="427"/>
    </row>
    <row r="52" spans="1:14" ht="15.75">
      <c r="A52" s="427"/>
      <c r="B52" s="427"/>
      <c r="C52" s="427"/>
      <c r="D52" s="427"/>
      <c r="E52" s="427"/>
      <c r="F52" s="427"/>
      <c r="G52" s="427"/>
      <c r="H52" s="427"/>
      <c r="I52" s="427"/>
      <c r="J52" s="427"/>
      <c r="K52" s="427"/>
      <c r="L52" s="427"/>
      <c r="M52" s="427"/>
      <c r="N52" s="427"/>
    </row>
    <row r="53" spans="1:14" ht="15.75">
      <c r="A53" s="427"/>
      <c r="B53" s="427"/>
      <c r="C53" s="427"/>
      <c r="D53" s="427"/>
      <c r="E53" s="427"/>
      <c r="F53" s="427"/>
      <c r="G53" s="427"/>
      <c r="H53" s="427"/>
      <c r="I53" s="427"/>
      <c r="J53" s="427"/>
      <c r="K53" s="427"/>
      <c r="L53" s="427"/>
      <c r="M53" s="427"/>
      <c r="N53" s="427"/>
    </row>
    <row r="54" spans="1:14" ht="15.75">
      <c r="A54" s="427"/>
      <c r="B54" s="427"/>
      <c r="C54" s="427"/>
      <c r="D54" s="427"/>
      <c r="E54" s="427"/>
      <c r="F54" s="427"/>
      <c r="G54" s="427"/>
      <c r="H54" s="427"/>
      <c r="I54" s="427"/>
      <c r="J54" s="427"/>
      <c r="K54" s="427"/>
      <c r="L54" s="427"/>
      <c r="M54" s="427"/>
      <c r="N54" s="427"/>
    </row>
    <row r="55" spans="1:14" ht="15.75">
      <c r="A55" s="427"/>
      <c r="B55" s="427"/>
      <c r="C55" s="427"/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427"/>
    </row>
    <row r="56" spans="1:14" ht="15.75">
      <c r="A56" s="427"/>
      <c r="B56" s="427"/>
      <c r="C56" s="427"/>
      <c r="D56" s="427"/>
      <c r="E56" s="427"/>
      <c r="F56" s="427"/>
      <c r="G56" s="427"/>
      <c r="H56" s="427"/>
      <c r="I56" s="427"/>
      <c r="J56" s="427"/>
      <c r="K56" s="427"/>
      <c r="L56" s="427"/>
      <c r="M56" s="427"/>
      <c r="N56" s="427"/>
    </row>
    <row r="57" spans="1:14" ht="15.75">
      <c r="A57" s="427"/>
      <c r="B57" s="427"/>
      <c r="C57" s="427"/>
      <c r="D57" s="427"/>
      <c r="E57" s="427"/>
      <c r="F57" s="427"/>
      <c r="G57" s="427"/>
      <c r="H57" s="427"/>
      <c r="I57" s="427"/>
      <c r="J57" s="427"/>
      <c r="K57" s="427"/>
      <c r="L57" s="427"/>
      <c r="M57" s="427"/>
      <c r="N57" s="427"/>
    </row>
    <row r="58" spans="1:14" ht="15.75">
      <c r="A58" s="427"/>
      <c r="B58" s="427"/>
      <c r="C58" s="427"/>
      <c r="D58" s="427"/>
      <c r="E58" s="427"/>
      <c r="F58" s="427"/>
      <c r="G58" s="427"/>
      <c r="H58" s="427"/>
      <c r="I58" s="427"/>
      <c r="J58" s="427"/>
      <c r="K58" s="427"/>
      <c r="L58" s="427"/>
      <c r="M58" s="427"/>
      <c r="N58" s="427"/>
    </row>
    <row r="59" spans="1:14" ht="15.75">
      <c r="A59" s="427"/>
      <c r="B59" s="427"/>
      <c r="C59" s="427"/>
      <c r="D59" s="427"/>
      <c r="E59" s="427"/>
      <c r="F59" s="427"/>
      <c r="G59" s="427"/>
      <c r="H59" s="427"/>
      <c r="I59" s="427"/>
      <c r="J59" s="427"/>
      <c r="K59" s="427"/>
      <c r="L59" s="427"/>
      <c r="M59" s="427"/>
      <c r="N59" s="427"/>
    </row>
    <row r="60" spans="1:14" ht="15.75">
      <c r="A60" s="427"/>
      <c r="B60" s="427"/>
      <c r="C60" s="427"/>
      <c r="D60" s="427"/>
      <c r="E60" s="427"/>
      <c r="F60" s="427"/>
      <c r="G60" s="427"/>
      <c r="H60" s="427"/>
      <c r="I60" s="427"/>
      <c r="J60" s="427"/>
      <c r="K60" s="427"/>
      <c r="L60" s="427"/>
      <c r="M60" s="427"/>
      <c r="N60" s="427"/>
    </row>
    <row r="61" spans="1:14" ht="15.75">
      <c r="A61" s="427"/>
      <c r="B61" s="427"/>
      <c r="C61" s="427"/>
      <c r="D61" s="427"/>
      <c r="E61" s="427"/>
      <c r="F61" s="427"/>
      <c r="G61" s="427"/>
      <c r="H61" s="427"/>
      <c r="I61" s="427"/>
      <c r="J61" s="427"/>
      <c r="K61" s="427"/>
      <c r="L61" s="427"/>
      <c r="M61" s="427"/>
      <c r="N61" s="427"/>
    </row>
    <row r="62" spans="1:14" ht="15.75">
      <c r="A62" s="427"/>
      <c r="B62" s="427"/>
      <c r="C62" s="427"/>
      <c r="D62" s="427"/>
      <c r="E62" s="427"/>
      <c r="F62" s="427"/>
      <c r="G62" s="427"/>
      <c r="H62" s="427"/>
      <c r="I62" s="427"/>
      <c r="J62" s="427"/>
      <c r="K62" s="427"/>
      <c r="L62" s="427"/>
      <c r="M62" s="427"/>
      <c r="N62" s="427"/>
    </row>
    <row r="63" spans="1:14" ht="15.75">
      <c r="A63" s="427"/>
      <c r="B63" s="427"/>
      <c r="C63" s="427"/>
      <c r="D63" s="427"/>
      <c r="E63" s="427"/>
      <c r="F63" s="427"/>
      <c r="G63" s="427"/>
      <c r="H63" s="427"/>
      <c r="I63" s="427"/>
      <c r="J63" s="427"/>
      <c r="K63" s="427"/>
      <c r="L63" s="427"/>
      <c r="M63" s="427"/>
      <c r="N63" s="427"/>
    </row>
    <row r="64" spans="1:14" ht="15.75">
      <c r="A64" s="427"/>
      <c r="B64" s="427"/>
      <c r="C64" s="427"/>
      <c r="D64" s="427"/>
      <c r="E64" s="427"/>
      <c r="F64" s="427"/>
      <c r="G64" s="427"/>
      <c r="H64" s="427"/>
      <c r="I64" s="427"/>
      <c r="J64" s="427"/>
      <c r="K64" s="427"/>
      <c r="L64" s="427"/>
      <c r="M64" s="427"/>
      <c r="N64" s="427"/>
    </row>
    <row r="65" spans="1:14" ht="15.75">
      <c r="A65" s="427"/>
      <c r="B65" s="427"/>
      <c r="C65" s="427"/>
      <c r="D65" s="427"/>
      <c r="E65" s="427"/>
      <c r="F65" s="427"/>
      <c r="G65" s="427"/>
      <c r="H65" s="427"/>
      <c r="I65" s="427"/>
      <c r="J65" s="427"/>
      <c r="K65" s="427"/>
      <c r="L65" s="427"/>
      <c r="M65" s="427"/>
      <c r="N65" s="427"/>
    </row>
    <row r="66" spans="1:14" ht="15.75">
      <c r="A66" s="427"/>
      <c r="B66" s="427"/>
      <c r="C66" s="427"/>
      <c r="D66" s="427"/>
      <c r="E66" s="427"/>
      <c r="F66" s="427"/>
      <c r="G66" s="427"/>
      <c r="H66" s="427"/>
      <c r="I66" s="427"/>
      <c r="J66" s="427"/>
      <c r="K66" s="427"/>
      <c r="L66" s="427"/>
      <c r="M66" s="427"/>
      <c r="N66" s="427"/>
    </row>
  </sheetData>
  <sheetProtection/>
  <mergeCells count="19">
    <mergeCell ref="J21:N21"/>
    <mergeCell ref="C40:I40"/>
    <mergeCell ref="J16:N20"/>
    <mergeCell ref="C17:D17"/>
    <mergeCell ref="E17:F17"/>
    <mergeCell ref="C18:C20"/>
    <mergeCell ref="D18:D20"/>
    <mergeCell ref="E18:E20"/>
    <mergeCell ref="F18:F20"/>
    <mergeCell ref="A11:N11"/>
    <mergeCell ref="A12:N12"/>
    <mergeCell ref="A13:I13"/>
    <mergeCell ref="A15:I15"/>
    <mergeCell ref="A16:A20"/>
    <mergeCell ref="B16:B20"/>
    <mergeCell ref="C16:F16"/>
    <mergeCell ref="G16:G20"/>
    <mergeCell ref="H16:H20"/>
    <mergeCell ref="I16:I20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72"/>
  <sheetViews>
    <sheetView view="pageBreakPreview" zoomScale="80" zoomScaleSheetLayoutView="80" zoomScalePageLayoutView="0" workbookViewId="0" topLeftCell="A1">
      <pane xSplit="2" ySplit="16" topLeftCell="C17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D18" sqref="D18"/>
    </sheetView>
  </sheetViews>
  <sheetFormatPr defaultColWidth="9.00390625" defaultRowHeight="15.75"/>
  <cols>
    <col min="1" max="1" width="9.00390625" style="1" customWidth="1"/>
    <col min="2" max="2" width="34.875" style="1" customWidth="1"/>
    <col min="3" max="3" width="9.25390625" style="1" bestFit="1" customWidth="1"/>
    <col min="4" max="4" width="10.50390625" style="1" bestFit="1" customWidth="1"/>
    <col min="5" max="5" width="39.625" style="1" customWidth="1"/>
    <col min="6" max="16384" width="9.00390625" style="1" customWidth="1"/>
  </cols>
  <sheetData>
    <row r="1" ht="15.75">
      <c r="E1" s="143" t="s">
        <v>133</v>
      </c>
    </row>
    <row r="2" ht="15.75">
      <c r="E2" s="143" t="s">
        <v>37</v>
      </c>
    </row>
    <row r="3" ht="15.75">
      <c r="E3" s="143" t="s">
        <v>50</v>
      </c>
    </row>
    <row r="4" ht="15.75">
      <c r="E4" s="143"/>
    </row>
    <row r="5" ht="15.75">
      <c r="E5" s="2" t="s">
        <v>38</v>
      </c>
    </row>
    <row r="6" ht="15.75">
      <c r="E6" s="2" t="s">
        <v>235</v>
      </c>
    </row>
    <row r="7" ht="15.75">
      <c r="E7" s="2"/>
    </row>
    <row r="8" ht="15.75">
      <c r="E8" s="2" t="s">
        <v>368</v>
      </c>
    </row>
    <row r="9" ht="15.75">
      <c r="E9" s="2" t="s">
        <v>369</v>
      </c>
    </row>
    <row r="10" ht="15.75">
      <c r="E10" s="2" t="s">
        <v>42</v>
      </c>
    </row>
    <row r="11" spans="1:7" ht="31.5" customHeight="1">
      <c r="A11" s="932" t="s">
        <v>154</v>
      </c>
      <c r="B11" s="913"/>
      <c r="C11" s="913"/>
      <c r="D11" s="913"/>
      <c r="E11" s="913"/>
      <c r="F11" s="948"/>
      <c r="G11" s="948"/>
    </row>
    <row r="12" spans="1:7" ht="29.25" customHeight="1">
      <c r="A12" s="953" t="s">
        <v>370</v>
      </c>
      <c r="B12" s="953"/>
      <c r="C12" s="953"/>
      <c r="D12" s="953"/>
      <c r="E12" s="953"/>
      <c r="F12" s="16"/>
      <c r="G12" s="16"/>
    </row>
    <row r="13" spans="1:7" ht="16.5" thickBot="1">
      <c r="A13" s="13"/>
      <c r="E13" s="2"/>
      <c r="F13" s="16"/>
      <c r="G13" s="16"/>
    </row>
    <row r="14" spans="1:5" ht="32.25" customHeight="1">
      <c r="A14" s="914" t="s">
        <v>251</v>
      </c>
      <c r="B14" s="917" t="s">
        <v>252</v>
      </c>
      <c r="C14" s="949" t="s">
        <v>372</v>
      </c>
      <c r="D14" s="950"/>
      <c r="E14" s="925" t="s">
        <v>253</v>
      </c>
    </row>
    <row r="15" spans="1:5" ht="15.75">
      <c r="A15" s="915"/>
      <c r="B15" s="910"/>
      <c r="C15" s="951"/>
      <c r="D15" s="952"/>
      <c r="E15" s="926"/>
    </row>
    <row r="16" spans="1:5" ht="16.5" thickBot="1">
      <c r="A16" s="916"/>
      <c r="B16" s="918"/>
      <c r="C16" s="59" t="s">
        <v>343</v>
      </c>
      <c r="D16" s="59" t="s">
        <v>356</v>
      </c>
      <c r="E16" s="927"/>
    </row>
    <row r="17" spans="1:7" ht="24" customHeight="1">
      <c r="A17" s="107">
        <v>1</v>
      </c>
      <c r="B17" s="105" t="s">
        <v>262</v>
      </c>
      <c r="C17" s="203">
        <v>41.752</v>
      </c>
      <c r="D17" s="208">
        <f>D30</f>
        <v>0.6845220000000001</v>
      </c>
      <c r="E17" s="944" t="s">
        <v>373</v>
      </c>
      <c r="F17" s="6"/>
      <c r="G17" s="6"/>
    </row>
    <row r="18" spans="1:5" ht="43.5" customHeight="1">
      <c r="A18" s="91" t="s">
        <v>238</v>
      </c>
      <c r="B18" s="3" t="s">
        <v>263</v>
      </c>
      <c r="C18" s="200">
        <v>35.063</v>
      </c>
      <c r="D18" s="209">
        <v>0</v>
      </c>
      <c r="E18" s="945"/>
    </row>
    <row r="19" spans="1:5" ht="48" customHeight="1">
      <c r="A19" s="91" t="s">
        <v>264</v>
      </c>
      <c r="B19" s="3" t="s">
        <v>286</v>
      </c>
      <c r="C19" s="200">
        <f>C18</f>
        <v>35.063</v>
      </c>
      <c r="D19" s="209">
        <v>0</v>
      </c>
      <c r="E19" s="946"/>
    </row>
    <row r="20" spans="1:5" ht="15.75">
      <c r="A20" s="91" t="s">
        <v>280</v>
      </c>
      <c r="B20" s="3" t="s">
        <v>287</v>
      </c>
      <c r="C20" s="200"/>
      <c r="D20" s="209"/>
      <c r="E20" s="8"/>
    </row>
    <row r="21" spans="1:5" ht="47.25">
      <c r="A21" s="91" t="s">
        <v>283</v>
      </c>
      <c r="B21" s="3" t="s">
        <v>335</v>
      </c>
      <c r="C21" s="201"/>
      <c r="D21" s="210"/>
      <c r="E21" s="8"/>
    </row>
    <row r="22" spans="1:5" ht="31.5">
      <c r="A22" s="91" t="s">
        <v>284</v>
      </c>
      <c r="B22" s="3" t="s">
        <v>336</v>
      </c>
      <c r="C22" s="201"/>
      <c r="D22" s="210"/>
      <c r="E22" s="8"/>
    </row>
    <row r="23" spans="1:5" ht="31.5">
      <c r="A23" s="91" t="s">
        <v>285</v>
      </c>
      <c r="B23" s="3" t="s">
        <v>337</v>
      </c>
      <c r="C23" s="200"/>
      <c r="D23" s="209"/>
      <c r="E23" s="8"/>
    </row>
    <row r="24" spans="1:5" ht="15.75">
      <c r="A24" s="91" t="s">
        <v>71</v>
      </c>
      <c r="B24" s="3" t="s">
        <v>56</v>
      </c>
      <c r="C24" s="200"/>
      <c r="D24" s="209"/>
      <c r="E24" s="8"/>
    </row>
    <row r="25" spans="1:5" ht="15.75">
      <c r="A25" s="91" t="s">
        <v>239</v>
      </c>
      <c r="B25" s="3" t="s">
        <v>265</v>
      </c>
      <c r="C25" s="200">
        <v>6.689</v>
      </c>
      <c r="D25" s="209">
        <v>0</v>
      </c>
      <c r="E25" s="8"/>
    </row>
    <row r="26" spans="1:5" ht="15.75">
      <c r="A26" s="91" t="s">
        <v>57</v>
      </c>
      <c r="B26" s="3" t="s">
        <v>60</v>
      </c>
      <c r="C26" s="200">
        <v>6.689</v>
      </c>
      <c r="D26" s="209">
        <v>0</v>
      </c>
      <c r="E26" s="8"/>
    </row>
    <row r="27" spans="1:5" ht="15.75">
      <c r="A27" s="91" t="s">
        <v>58</v>
      </c>
      <c r="B27" s="3" t="s">
        <v>61</v>
      </c>
      <c r="C27" s="200"/>
      <c r="D27" s="209"/>
      <c r="E27" s="8"/>
    </row>
    <row r="28" spans="1:5" ht="31.5">
      <c r="A28" s="91" t="s">
        <v>59</v>
      </c>
      <c r="B28" s="3" t="s">
        <v>62</v>
      </c>
      <c r="C28" s="200"/>
      <c r="D28" s="209"/>
      <c r="E28" s="8"/>
    </row>
    <row r="29" spans="1:5" ht="15.75">
      <c r="A29" s="91" t="s">
        <v>250</v>
      </c>
      <c r="B29" s="3" t="s">
        <v>266</v>
      </c>
      <c r="C29" s="200"/>
      <c r="D29" s="209"/>
      <c r="E29" s="8"/>
    </row>
    <row r="30" spans="1:5" ht="15.75">
      <c r="A30" s="91" t="s">
        <v>267</v>
      </c>
      <c r="B30" s="3" t="s">
        <v>268</v>
      </c>
      <c r="C30" s="200"/>
      <c r="D30" s="192">
        <v>0.6845220000000001</v>
      </c>
      <c r="E30" s="8"/>
    </row>
    <row r="31" spans="1:5" ht="15.75">
      <c r="A31" s="91" t="s">
        <v>269</v>
      </c>
      <c r="B31" s="3" t="s">
        <v>338</v>
      </c>
      <c r="C31" s="200"/>
      <c r="D31" s="209"/>
      <c r="E31" s="8"/>
    </row>
    <row r="32" spans="1:5" ht="32.25" thickBot="1">
      <c r="A32" s="96" t="s">
        <v>1</v>
      </c>
      <c r="B32" s="97" t="s">
        <v>68</v>
      </c>
      <c r="C32" s="202"/>
      <c r="D32" s="211"/>
      <c r="E32" s="27"/>
    </row>
    <row r="33" spans="1:5" ht="15.75">
      <c r="A33" s="104" t="s">
        <v>240</v>
      </c>
      <c r="B33" s="105" t="s">
        <v>339</v>
      </c>
      <c r="C33" s="204"/>
      <c r="D33" s="212"/>
      <c r="E33" s="106"/>
    </row>
    <row r="34" spans="1:5" ht="15.75">
      <c r="A34" s="91" t="s">
        <v>241</v>
      </c>
      <c r="B34" s="3" t="s">
        <v>344</v>
      </c>
      <c r="C34" s="200"/>
      <c r="D34" s="209"/>
      <c r="E34" s="8"/>
    </row>
    <row r="35" spans="1:5" ht="15.75">
      <c r="A35" s="91" t="s">
        <v>242</v>
      </c>
      <c r="B35" s="3" t="s">
        <v>340</v>
      </c>
      <c r="C35" s="200"/>
      <c r="D35" s="209"/>
      <c r="E35" s="8"/>
    </row>
    <row r="36" spans="1:5" ht="21.75" customHeight="1">
      <c r="A36" s="95" t="s">
        <v>243</v>
      </c>
      <c r="B36" s="3" t="s">
        <v>341</v>
      </c>
      <c r="C36" s="205"/>
      <c r="D36" s="213"/>
      <c r="E36" s="89"/>
    </row>
    <row r="37" spans="1:5" ht="15.75">
      <c r="A37" s="95" t="s">
        <v>244</v>
      </c>
      <c r="B37" s="3" t="s">
        <v>270</v>
      </c>
      <c r="C37" s="205"/>
      <c r="D37" s="213"/>
      <c r="E37" s="89"/>
    </row>
    <row r="38" spans="1:5" ht="15.75">
      <c r="A38" s="91" t="s">
        <v>289</v>
      </c>
      <c r="B38" s="3" t="s">
        <v>282</v>
      </c>
      <c r="C38" s="205"/>
      <c r="D38" s="213"/>
      <c r="E38" s="89"/>
    </row>
    <row r="39" spans="1:5" ht="15.75">
      <c r="A39" s="91" t="s">
        <v>334</v>
      </c>
      <c r="B39" s="3" t="s">
        <v>64</v>
      </c>
      <c r="C39" s="205"/>
      <c r="D39" s="213"/>
      <c r="E39" s="89"/>
    </row>
    <row r="40" spans="1:5" ht="16.5" thickBot="1">
      <c r="A40" s="96" t="s">
        <v>63</v>
      </c>
      <c r="B40" s="97" t="s">
        <v>271</v>
      </c>
      <c r="C40" s="206"/>
      <c r="D40" s="214"/>
      <c r="E40" s="90"/>
    </row>
    <row r="41" spans="1:5" ht="31.5">
      <c r="A41" s="101"/>
      <c r="B41" s="102" t="s">
        <v>261</v>
      </c>
      <c r="C41" s="207">
        <v>41.752</v>
      </c>
      <c r="D41" s="215">
        <f>D30</f>
        <v>0.6845220000000001</v>
      </c>
      <c r="E41" s="103"/>
    </row>
    <row r="42" spans="1:5" ht="15.75">
      <c r="A42" s="7"/>
      <c r="B42" s="3" t="s">
        <v>52</v>
      </c>
      <c r="C42" s="205"/>
      <c r="D42" s="213"/>
      <c r="E42" s="89"/>
    </row>
    <row r="43" spans="1:5" ht="15.75">
      <c r="A43" s="7"/>
      <c r="B43" s="87" t="s">
        <v>53</v>
      </c>
      <c r="C43" s="205"/>
      <c r="D43" s="213"/>
      <c r="E43" s="89"/>
    </row>
    <row r="44" spans="1:5" ht="16.5" thickBot="1">
      <c r="A44" s="64"/>
      <c r="B44" s="88" t="s">
        <v>54</v>
      </c>
      <c r="C44" s="206"/>
      <c r="D44" s="214"/>
      <c r="E44" s="90"/>
    </row>
    <row r="45" spans="1:5" ht="15.75">
      <c r="A45" s="11"/>
      <c r="B45" s="94"/>
      <c r="C45" s="28"/>
      <c r="D45" s="28"/>
      <c r="E45" s="10"/>
    </row>
    <row r="46" spans="1:4" ht="15.75">
      <c r="A46" s="11" t="s">
        <v>342</v>
      </c>
      <c r="C46" s="24"/>
      <c r="D46" s="24"/>
    </row>
    <row r="47" spans="1:4" ht="15.75">
      <c r="A47" s="11" t="s">
        <v>357</v>
      </c>
      <c r="C47" s="24"/>
      <c r="D47" s="24"/>
    </row>
    <row r="48" spans="1:4" ht="15.75">
      <c r="A48" s="11"/>
      <c r="C48" s="24"/>
      <c r="D48" s="24"/>
    </row>
    <row r="49" spans="1:7" ht="15.75">
      <c r="A49" s="947" t="s">
        <v>375</v>
      </c>
      <c r="B49" s="947"/>
      <c r="C49" s="947"/>
      <c r="D49" s="947"/>
      <c r="E49" s="947"/>
      <c r="F49" s="10"/>
      <c r="G49" s="10"/>
    </row>
    <row r="50" spans="3:4" ht="15.75">
      <c r="C50" s="24"/>
      <c r="D50" s="24"/>
    </row>
    <row r="51" spans="3:4" ht="15.75">
      <c r="C51" s="24"/>
      <c r="D51" s="24"/>
    </row>
    <row r="52" spans="3:4" ht="15.75">
      <c r="C52" s="24"/>
      <c r="D52" s="24"/>
    </row>
    <row r="53" spans="3:4" ht="15.75">
      <c r="C53" s="24"/>
      <c r="D53" s="24"/>
    </row>
    <row r="54" spans="3:4" ht="15.75">
      <c r="C54" s="24"/>
      <c r="D54" s="24"/>
    </row>
    <row r="55" spans="3:4" ht="15.75">
      <c r="C55" s="24"/>
      <c r="D55" s="24"/>
    </row>
    <row r="56" spans="3:4" ht="15.75">
      <c r="C56" s="24"/>
      <c r="D56" s="24"/>
    </row>
    <row r="57" spans="3:4" ht="15.75">
      <c r="C57" s="24"/>
      <c r="D57" s="24"/>
    </row>
    <row r="58" spans="3:4" ht="15.75">
      <c r="C58" s="24"/>
      <c r="D58" s="24"/>
    </row>
    <row r="59" spans="3:4" ht="15.75">
      <c r="C59" s="24"/>
      <c r="D59" s="24"/>
    </row>
    <row r="60" spans="3:4" ht="15.75">
      <c r="C60" s="24"/>
      <c r="D60" s="24"/>
    </row>
    <row r="61" spans="3:4" ht="15.75">
      <c r="C61" s="24"/>
      <c r="D61" s="24"/>
    </row>
    <row r="62" spans="3:4" ht="15.75">
      <c r="C62" s="24"/>
      <c r="D62" s="24"/>
    </row>
    <row r="63" spans="3:4" ht="15.75">
      <c r="C63" s="47"/>
      <c r="D63" s="47"/>
    </row>
    <row r="67" spans="3:4" ht="15.75">
      <c r="C67" s="24"/>
      <c r="D67" s="24"/>
    </row>
    <row r="68" spans="3:4" ht="15.75">
      <c r="C68" s="24"/>
      <c r="D68" s="24"/>
    </row>
    <row r="71" ht="15.75">
      <c r="C71" s="21"/>
    </row>
    <row r="72" ht="15.75">
      <c r="C72" s="13"/>
    </row>
  </sheetData>
  <sheetProtection/>
  <mergeCells count="9">
    <mergeCell ref="E17:E19"/>
    <mergeCell ref="A49:E49"/>
    <mergeCell ref="F11:G11"/>
    <mergeCell ref="A14:A16"/>
    <mergeCell ref="B14:B16"/>
    <mergeCell ref="E14:E16"/>
    <mergeCell ref="C14:D15"/>
    <mergeCell ref="A11:E11"/>
    <mergeCell ref="A12:E12"/>
  </mergeCells>
  <printOptions/>
  <pageMargins left="0.72" right="0.1968503937007874" top="0.53" bottom="0.55" header="0.5118110236220472" footer="0.5118110236220472"/>
  <pageSetup fitToHeight="1" fitToWidth="1" horizontalDpi="600" verticalDpi="600" orientation="portrait" paperSize="9" scale="78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66"/>
  <sheetViews>
    <sheetView view="pageBreakPreview" zoomScale="75" zoomScaleSheetLayoutView="75" zoomScalePageLayoutView="0" workbookViewId="0" topLeftCell="A8">
      <selection activeCell="F49" sqref="F49"/>
    </sheetView>
  </sheetViews>
  <sheetFormatPr defaultColWidth="9.00390625" defaultRowHeight="15.75" outlineLevelRow="1"/>
  <cols>
    <col min="1" max="1" width="14.125" style="108" customWidth="1"/>
    <col min="2" max="2" width="57.375" style="108" customWidth="1"/>
    <col min="3" max="3" width="16.375" style="827" customWidth="1"/>
    <col min="4" max="4" width="9.00390625" style="108" customWidth="1"/>
    <col min="5" max="5" width="9.75390625" style="108" bestFit="1" customWidth="1"/>
    <col min="6" max="16384" width="9.00390625" style="108" customWidth="1"/>
  </cols>
  <sheetData>
    <row r="1" ht="15.75">
      <c r="C1" s="822" t="s">
        <v>763</v>
      </c>
    </row>
    <row r="2" ht="15.75">
      <c r="C2" s="822" t="s">
        <v>37</v>
      </c>
    </row>
    <row r="3" ht="15.75">
      <c r="C3" s="823" t="s">
        <v>379</v>
      </c>
    </row>
    <row r="4" ht="15.75" outlineLevel="1">
      <c r="C4" s="824"/>
    </row>
    <row r="5" ht="15.75" outlineLevel="1">
      <c r="C5" s="824" t="s">
        <v>38</v>
      </c>
    </row>
    <row r="6" ht="15.75" outlineLevel="1">
      <c r="C6" s="824" t="s">
        <v>647</v>
      </c>
    </row>
    <row r="7" ht="15.75" outlineLevel="1">
      <c r="C7" s="824"/>
    </row>
    <row r="8" ht="15.75" outlineLevel="1">
      <c r="C8" s="824" t="s">
        <v>648</v>
      </c>
    </row>
    <row r="9" ht="15.75" outlineLevel="1">
      <c r="C9" s="109" t="s">
        <v>795</v>
      </c>
    </row>
    <row r="10" ht="15.75" outlineLevel="1">
      <c r="C10" s="824" t="s">
        <v>42</v>
      </c>
    </row>
    <row r="11" ht="15.75">
      <c r="C11" s="825"/>
    </row>
    <row r="12" spans="1:16" ht="42.75" customHeight="1">
      <c r="A12" s="1061" t="s">
        <v>792</v>
      </c>
      <c r="B12" s="1061"/>
      <c r="C12" s="1061"/>
      <c r="D12" s="826"/>
      <c r="E12" s="826"/>
      <c r="F12" s="826"/>
      <c r="G12" s="826"/>
      <c r="H12" s="826"/>
      <c r="I12" s="826"/>
      <c r="J12" s="826"/>
      <c r="K12" s="826"/>
      <c r="L12" s="826"/>
      <c r="M12" s="826"/>
      <c r="N12" s="826"/>
      <c r="O12" s="826"/>
      <c r="P12" s="826"/>
    </row>
    <row r="13" spans="1:3" ht="30" customHeight="1">
      <c r="A13" s="1062" t="s">
        <v>780</v>
      </c>
      <c r="B13" s="1062"/>
      <c r="C13" s="1062"/>
    </row>
    <row r="14" ht="16.5" thickBot="1"/>
    <row r="15" spans="1:3" ht="21.75" customHeight="1" thickBot="1">
      <c r="A15" s="828" t="s">
        <v>764</v>
      </c>
      <c r="B15" s="829" t="s">
        <v>529</v>
      </c>
      <c r="C15" s="830" t="s">
        <v>765</v>
      </c>
    </row>
    <row r="16" spans="1:7" ht="15.75">
      <c r="A16" s="831" t="s">
        <v>237</v>
      </c>
      <c r="B16" s="1063" t="s">
        <v>766</v>
      </c>
      <c r="C16" s="1064"/>
      <c r="E16" s="483"/>
      <c r="F16" s="483"/>
      <c r="G16" s="483"/>
    </row>
    <row r="17" spans="1:7" ht="15.75">
      <c r="A17" s="832" t="s">
        <v>238</v>
      </c>
      <c r="B17" s="833" t="s">
        <v>499</v>
      </c>
      <c r="C17" s="834" t="s">
        <v>769</v>
      </c>
      <c r="E17" s="483"/>
      <c r="F17" s="483"/>
      <c r="G17" s="483"/>
    </row>
    <row r="18" spans="1:7" ht="31.5">
      <c r="A18" s="832" t="s">
        <v>239</v>
      </c>
      <c r="B18" s="833" t="s">
        <v>526</v>
      </c>
      <c r="C18" s="834" t="s">
        <v>767</v>
      </c>
      <c r="E18" s="483"/>
      <c r="F18" s="483"/>
      <c r="G18" s="483"/>
    </row>
    <row r="19" spans="1:7" ht="15.75">
      <c r="A19" s="832" t="s">
        <v>240</v>
      </c>
      <c r="B19" s="1065" t="s">
        <v>768</v>
      </c>
      <c r="C19" s="1066"/>
      <c r="E19" s="483"/>
      <c r="F19" s="483"/>
      <c r="G19" s="483"/>
    </row>
    <row r="20" spans="1:7" ht="15.75">
      <c r="A20" s="832" t="s">
        <v>238</v>
      </c>
      <c r="B20" s="833" t="s">
        <v>499</v>
      </c>
      <c r="C20" s="834" t="s">
        <v>769</v>
      </c>
      <c r="E20" s="483"/>
      <c r="F20" s="483"/>
      <c r="G20" s="483"/>
    </row>
    <row r="21" spans="1:7" ht="15.75">
      <c r="A21" s="832" t="s">
        <v>240</v>
      </c>
      <c r="B21" s="1065" t="s">
        <v>768</v>
      </c>
      <c r="C21" s="1066"/>
      <c r="E21" s="483"/>
      <c r="F21" s="483"/>
      <c r="G21" s="483"/>
    </row>
    <row r="22" spans="1:7" ht="15.75">
      <c r="A22" s="832" t="s">
        <v>242</v>
      </c>
      <c r="B22" s="837" t="s">
        <v>501</v>
      </c>
      <c r="C22" s="834" t="s">
        <v>767</v>
      </c>
      <c r="E22" s="483"/>
      <c r="F22" s="483"/>
      <c r="G22" s="483"/>
    </row>
    <row r="23" spans="1:7" ht="15.75">
      <c r="A23" s="832" t="s">
        <v>244</v>
      </c>
      <c r="B23" s="837" t="s">
        <v>503</v>
      </c>
      <c r="C23" s="834" t="s">
        <v>767</v>
      </c>
      <c r="E23" s="483"/>
      <c r="F23" s="483"/>
      <c r="G23" s="483"/>
    </row>
    <row r="24" spans="1:7" ht="15.75" hidden="1">
      <c r="A24" s="832" t="s">
        <v>334</v>
      </c>
      <c r="B24" s="833" t="s">
        <v>505</v>
      </c>
      <c r="C24" s="834"/>
      <c r="E24" s="483"/>
      <c r="F24" s="483"/>
      <c r="G24" s="483"/>
    </row>
    <row r="25" spans="1:7" ht="15.75">
      <c r="A25" s="832">
        <v>3</v>
      </c>
      <c r="B25" s="1058" t="s">
        <v>770</v>
      </c>
      <c r="C25" s="1059"/>
      <c r="E25" s="483"/>
      <c r="F25" s="483"/>
      <c r="G25" s="483"/>
    </row>
    <row r="26" spans="1:7" ht="31.5">
      <c r="A26" s="832" t="s">
        <v>365</v>
      </c>
      <c r="B26" s="833" t="s">
        <v>507</v>
      </c>
      <c r="C26" s="834" t="s">
        <v>769</v>
      </c>
      <c r="E26" s="483"/>
      <c r="F26" s="483"/>
      <c r="G26" s="483"/>
    </row>
    <row r="27" spans="1:7" ht="31.5">
      <c r="A27" s="832" t="s">
        <v>366</v>
      </c>
      <c r="B27" s="833" t="s">
        <v>509</v>
      </c>
      <c r="C27" s="834" t="s">
        <v>769</v>
      </c>
      <c r="E27" s="483"/>
      <c r="F27" s="483"/>
      <c r="G27" s="483"/>
    </row>
    <row r="28" spans="1:7" ht="15.75">
      <c r="A28" s="832" t="s">
        <v>367</v>
      </c>
      <c r="B28" s="833" t="s">
        <v>511</v>
      </c>
      <c r="C28" s="834" t="s">
        <v>769</v>
      </c>
      <c r="E28" s="483"/>
      <c r="F28" s="483"/>
      <c r="G28" s="483"/>
    </row>
    <row r="29" spans="1:7" ht="15.75">
      <c r="A29" s="832">
        <v>4</v>
      </c>
      <c r="B29" s="1058" t="s">
        <v>771</v>
      </c>
      <c r="C29" s="1059"/>
      <c r="E29" s="483"/>
      <c r="F29" s="483"/>
      <c r="G29" s="483"/>
    </row>
    <row r="30" spans="1:7" ht="15.75">
      <c r="A30" s="832" t="s">
        <v>245</v>
      </c>
      <c r="B30" s="833" t="s">
        <v>513</v>
      </c>
      <c r="C30" s="834" t="s">
        <v>767</v>
      </c>
      <c r="E30" s="483"/>
      <c r="F30" s="483"/>
      <c r="G30" s="483"/>
    </row>
    <row r="31" spans="1:7" ht="15" customHeight="1">
      <c r="A31" s="832" t="s">
        <v>305</v>
      </c>
      <c r="B31" s="833" t="s">
        <v>515</v>
      </c>
      <c r="C31" s="834" t="s">
        <v>767</v>
      </c>
      <c r="E31" s="483"/>
      <c r="F31" s="483"/>
      <c r="G31" s="483"/>
    </row>
    <row r="32" spans="1:7" ht="15" customHeight="1">
      <c r="A32" s="832" t="s">
        <v>772</v>
      </c>
      <c r="B32" s="833" t="s">
        <v>517</v>
      </c>
      <c r="C32" s="834"/>
      <c r="E32" s="483"/>
      <c r="F32" s="483"/>
      <c r="G32" s="483"/>
    </row>
    <row r="33" spans="1:7" ht="15.75">
      <c r="A33" s="832">
        <v>6</v>
      </c>
      <c r="B33" s="1058" t="s">
        <v>773</v>
      </c>
      <c r="C33" s="1059"/>
      <c r="E33" s="483"/>
      <c r="F33" s="483"/>
      <c r="G33" s="483"/>
    </row>
    <row r="34" spans="1:7" ht="31.5">
      <c r="A34" s="832" t="s">
        <v>774</v>
      </c>
      <c r="B34" s="833" t="s">
        <v>519</v>
      </c>
      <c r="C34" s="834"/>
      <c r="E34" s="483"/>
      <c r="F34" s="483"/>
      <c r="G34" s="483"/>
    </row>
    <row r="35" spans="1:7" ht="15.75">
      <c r="A35" s="832" t="s">
        <v>775</v>
      </c>
      <c r="B35" s="833" t="s">
        <v>521</v>
      </c>
      <c r="C35" s="834"/>
      <c r="E35" s="483"/>
      <c r="F35" s="483"/>
      <c r="G35" s="483"/>
    </row>
    <row r="36" spans="1:7" ht="46.5" customHeight="1" thickBot="1">
      <c r="A36" s="313" t="s">
        <v>776</v>
      </c>
      <c r="B36" s="835" t="s">
        <v>777</v>
      </c>
      <c r="C36" s="836"/>
      <c r="E36" s="483"/>
      <c r="F36" s="483"/>
      <c r="G36" s="483"/>
    </row>
    <row r="37" spans="5:7" ht="15.75">
      <c r="E37" s="427"/>
      <c r="F37" s="427"/>
      <c r="G37" s="427"/>
    </row>
    <row r="39" spans="1:3" ht="15.75">
      <c r="A39" s="1060" t="str">
        <f>'11.2 (ДЭС с. Пахачи) '!A39:C39</f>
        <v>Начальник ПТО                                                                      С. А. Апекин</v>
      </c>
      <c r="B39" s="1060"/>
      <c r="C39" s="1060"/>
    </row>
    <row r="41" spans="1:3" ht="15.75">
      <c r="A41" s="427"/>
      <c r="B41" s="427"/>
      <c r="C41" s="427"/>
    </row>
    <row r="42" spans="1:3" ht="15.75">
      <c r="A42" s="427"/>
      <c r="B42" s="427"/>
      <c r="C42" s="427"/>
    </row>
    <row r="43" spans="1:3" ht="15.75">
      <c r="A43" s="427"/>
      <c r="B43" s="427"/>
      <c r="C43" s="427"/>
    </row>
    <row r="44" spans="1:3" ht="15.75">
      <c r="A44" s="427"/>
      <c r="B44" s="427"/>
      <c r="C44" s="427"/>
    </row>
    <row r="45" spans="1:3" ht="15.75">
      <c r="A45" s="427"/>
      <c r="B45" s="427"/>
      <c r="C45" s="427"/>
    </row>
    <row r="46" spans="1:3" ht="15.75">
      <c r="A46" s="427"/>
      <c r="B46" s="427"/>
      <c r="C46" s="427"/>
    </row>
    <row r="47" spans="1:3" ht="15.75">
      <c r="A47" s="427"/>
      <c r="B47" s="427"/>
      <c r="C47" s="427"/>
    </row>
    <row r="48" spans="1:3" ht="15.75">
      <c r="A48" s="427"/>
      <c r="B48" s="427"/>
      <c r="C48" s="427"/>
    </row>
    <row r="49" spans="1:3" ht="15.75">
      <c r="A49" s="427"/>
      <c r="B49" s="427"/>
      <c r="C49" s="427"/>
    </row>
    <row r="50" spans="1:3" ht="15.75">
      <c r="A50" s="427"/>
      <c r="B50" s="427"/>
      <c r="C50" s="427"/>
    </row>
    <row r="51" spans="1:3" ht="15.75">
      <c r="A51" s="427"/>
      <c r="B51" s="427"/>
      <c r="C51" s="427"/>
    </row>
    <row r="52" spans="1:3" ht="15.75">
      <c r="A52" s="427"/>
      <c r="B52" s="427"/>
      <c r="C52" s="427"/>
    </row>
    <row r="53" spans="1:3" ht="15.75">
      <c r="A53" s="427"/>
      <c r="B53" s="427"/>
      <c r="C53" s="427"/>
    </row>
    <row r="54" spans="1:3" ht="15.75">
      <c r="A54" s="427"/>
      <c r="B54" s="427"/>
      <c r="C54" s="427"/>
    </row>
    <row r="55" spans="1:3" ht="15.75">
      <c r="A55" s="427"/>
      <c r="B55" s="427"/>
      <c r="C55" s="427"/>
    </row>
    <row r="56" spans="1:3" ht="15.75">
      <c r="A56" s="427"/>
      <c r="B56" s="427"/>
      <c r="C56" s="427"/>
    </row>
    <row r="57" spans="1:3" ht="15.75">
      <c r="A57" s="427"/>
      <c r="B57" s="427"/>
      <c r="C57" s="427"/>
    </row>
    <row r="58" spans="1:3" ht="15.75">
      <c r="A58" s="427"/>
      <c r="B58" s="427"/>
      <c r="C58" s="427"/>
    </row>
    <row r="59" spans="1:3" ht="15.75">
      <c r="A59" s="427"/>
      <c r="B59" s="427"/>
      <c r="C59" s="427"/>
    </row>
    <row r="60" spans="1:3" ht="15.75">
      <c r="A60" s="427"/>
      <c r="B60" s="427"/>
      <c r="C60" s="427"/>
    </row>
    <row r="61" spans="1:3" ht="15.75">
      <c r="A61" s="427"/>
      <c r="B61" s="427"/>
      <c r="C61" s="427"/>
    </row>
    <row r="62" spans="1:3" ht="15.75">
      <c r="A62" s="427"/>
      <c r="B62" s="427"/>
      <c r="C62" s="427"/>
    </row>
    <row r="63" spans="1:3" ht="15.75">
      <c r="A63" s="427"/>
      <c r="B63" s="427"/>
      <c r="C63" s="427"/>
    </row>
    <row r="64" spans="1:3" ht="15.75">
      <c r="A64" s="427"/>
      <c r="B64" s="427"/>
      <c r="C64" s="427"/>
    </row>
    <row r="65" spans="1:3" ht="15.75">
      <c r="A65" s="427"/>
      <c r="B65" s="427"/>
      <c r="C65" s="427"/>
    </row>
    <row r="66" spans="1:3" ht="15.75">
      <c r="A66" s="427"/>
      <c r="B66" s="427"/>
      <c r="C66" s="427"/>
    </row>
  </sheetData>
  <sheetProtection/>
  <mergeCells count="9">
    <mergeCell ref="B29:C29"/>
    <mergeCell ref="B33:C33"/>
    <mergeCell ref="A39:C39"/>
    <mergeCell ref="A12:C12"/>
    <mergeCell ref="A13:C13"/>
    <mergeCell ref="B16:C16"/>
    <mergeCell ref="B19:C19"/>
    <mergeCell ref="B21:C21"/>
    <mergeCell ref="B25:C25"/>
  </mergeCells>
  <printOptions/>
  <pageMargins left="0.7" right="0.2" top="0.35" bottom="0.36" header="0.3" footer="0.3"/>
  <pageSetup fitToHeight="2" fitToWidth="1"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1:P60"/>
  <sheetViews>
    <sheetView view="pageBreakPreview" zoomScale="75" zoomScaleSheetLayoutView="75" zoomScalePageLayoutView="0" workbookViewId="0" topLeftCell="A9">
      <selection activeCell="B66" sqref="B66"/>
    </sheetView>
  </sheetViews>
  <sheetFormatPr defaultColWidth="9.00390625" defaultRowHeight="15.75" outlineLevelRow="1"/>
  <cols>
    <col min="1" max="1" width="14.125" style="108" customWidth="1"/>
    <col min="2" max="2" width="57.375" style="108" customWidth="1"/>
    <col min="3" max="3" width="16.375" style="827" customWidth="1"/>
    <col min="4" max="4" width="9.00390625" style="108" customWidth="1"/>
    <col min="5" max="5" width="9.75390625" style="108" bestFit="1" customWidth="1"/>
    <col min="6" max="16384" width="9.00390625" style="108" customWidth="1"/>
  </cols>
  <sheetData>
    <row r="1" ht="15.75" outlineLevel="1">
      <c r="C1" s="822" t="s">
        <v>763</v>
      </c>
    </row>
    <row r="2" ht="15.75" outlineLevel="1">
      <c r="C2" s="822" t="s">
        <v>37</v>
      </c>
    </row>
    <row r="3" ht="15.75" outlineLevel="1">
      <c r="C3" s="823" t="s">
        <v>379</v>
      </c>
    </row>
    <row r="4" ht="15.75" outlineLevel="1">
      <c r="C4" s="824"/>
    </row>
    <row r="5" ht="15.75" outlineLevel="1">
      <c r="C5" s="824" t="s">
        <v>38</v>
      </c>
    </row>
    <row r="6" ht="15.75" outlineLevel="1">
      <c r="C6" s="824" t="s">
        <v>647</v>
      </c>
    </row>
    <row r="7" ht="15.75" outlineLevel="1">
      <c r="C7" s="824"/>
    </row>
    <row r="8" ht="15.75" outlineLevel="1">
      <c r="C8" s="824" t="s">
        <v>648</v>
      </c>
    </row>
    <row r="9" ht="15.75" outlineLevel="1">
      <c r="C9" s="109" t="s">
        <v>795</v>
      </c>
    </row>
    <row r="10" ht="15.75" outlineLevel="1">
      <c r="C10" s="824" t="s">
        <v>42</v>
      </c>
    </row>
    <row r="11" ht="15.75">
      <c r="C11" s="825"/>
    </row>
    <row r="12" spans="1:16" ht="42.75" customHeight="1">
      <c r="A12" s="1061" t="s">
        <v>792</v>
      </c>
      <c r="B12" s="1061"/>
      <c r="C12" s="1061"/>
      <c r="D12" s="826"/>
      <c r="E12" s="826"/>
      <c r="F12" s="826"/>
      <c r="G12" s="826"/>
      <c r="H12" s="826"/>
      <c r="I12" s="826"/>
      <c r="J12" s="826"/>
      <c r="K12" s="826"/>
      <c r="L12" s="826"/>
      <c r="M12" s="826"/>
      <c r="N12" s="826"/>
      <c r="O12" s="826"/>
      <c r="P12" s="826"/>
    </row>
    <row r="13" spans="1:3" ht="30.75" customHeight="1">
      <c r="A13" s="1062" t="s">
        <v>659</v>
      </c>
      <c r="B13" s="1062"/>
      <c r="C13" s="1062"/>
    </row>
    <row r="14" ht="16.5" thickBot="1"/>
    <row r="15" spans="1:3" ht="21.75" customHeight="1" thickBot="1">
      <c r="A15" s="828" t="s">
        <v>764</v>
      </c>
      <c r="B15" s="829" t="s">
        <v>529</v>
      </c>
      <c r="C15" s="830" t="s">
        <v>765</v>
      </c>
    </row>
    <row r="16" spans="1:3" ht="15.75" hidden="1">
      <c r="A16" s="831" t="s">
        <v>237</v>
      </c>
      <c r="B16" s="1063" t="s">
        <v>766</v>
      </c>
      <c r="C16" s="1064"/>
    </row>
    <row r="17" spans="1:3" ht="15.75" hidden="1">
      <c r="A17" s="832" t="s">
        <v>238</v>
      </c>
      <c r="B17" s="833" t="s">
        <v>499</v>
      </c>
      <c r="C17" s="834"/>
    </row>
    <row r="18" spans="1:3" ht="31.5" hidden="1">
      <c r="A18" s="832" t="s">
        <v>239</v>
      </c>
      <c r="B18" s="833" t="s">
        <v>526</v>
      </c>
      <c r="C18" s="834"/>
    </row>
    <row r="19" spans="1:3" ht="15.75" hidden="1">
      <c r="A19" s="832" t="s">
        <v>240</v>
      </c>
      <c r="B19" s="1065" t="s">
        <v>768</v>
      </c>
      <c r="C19" s="1066"/>
    </row>
    <row r="20" spans="1:3" ht="15.75" hidden="1">
      <c r="A20" s="832" t="s">
        <v>238</v>
      </c>
      <c r="B20" s="833" t="s">
        <v>499</v>
      </c>
      <c r="C20" s="834"/>
    </row>
    <row r="21" spans="1:3" ht="15.75" hidden="1">
      <c r="A21" s="832" t="s">
        <v>240</v>
      </c>
      <c r="B21" s="1065" t="s">
        <v>768</v>
      </c>
      <c r="C21" s="1066"/>
    </row>
    <row r="22" spans="1:3" ht="15.75" hidden="1">
      <c r="A22" s="832" t="s">
        <v>242</v>
      </c>
      <c r="B22" s="837" t="s">
        <v>501</v>
      </c>
      <c r="C22" s="834"/>
    </row>
    <row r="23" spans="1:3" ht="15.75" hidden="1">
      <c r="A23" s="832" t="s">
        <v>244</v>
      </c>
      <c r="B23" s="837" t="s">
        <v>503</v>
      </c>
      <c r="C23" s="834"/>
    </row>
    <row r="24" spans="1:3" ht="15.75" hidden="1">
      <c r="A24" s="832" t="s">
        <v>334</v>
      </c>
      <c r="B24" s="833" t="s">
        <v>505</v>
      </c>
      <c r="C24" s="834"/>
    </row>
    <row r="25" spans="1:3" ht="15.75" hidden="1">
      <c r="A25" s="832">
        <v>3</v>
      </c>
      <c r="B25" s="1058" t="s">
        <v>770</v>
      </c>
      <c r="C25" s="1059"/>
    </row>
    <row r="26" spans="1:3" ht="31.5" hidden="1">
      <c r="A26" s="832" t="s">
        <v>365</v>
      </c>
      <c r="B26" s="833" t="s">
        <v>507</v>
      </c>
      <c r="C26" s="834"/>
    </row>
    <row r="27" spans="1:3" ht="31.5" hidden="1">
      <c r="A27" s="832" t="s">
        <v>366</v>
      </c>
      <c r="B27" s="833" t="s">
        <v>509</v>
      </c>
      <c r="C27" s="834"/>
    </row>
    <row r="28" spans="1:7" ht="15.75">
      <c r="A28" s="832" t="s">
        <v>367</v>
      </c>
      <c r="B28" s="833" t="s">
        <v>636</v>
      </c>
      <c r="C28" s="834" t="s">
        <v>769</v>
      </c>
      <c r="E28" s="483"/>
      <c r="F28" s="483"/>
      <c r="G28" s="483"/>
    </row>
    <row r="29" spans="1:7" ht="15.75">
      <c r="A29" s="832">
        <v>4</v>
      </c>
      <c r="B29" s="1058" t="s">
        <v>771</v>
      </c>
      <c r="C29" s="1059"/>
      <c r="E29" s="483"/>
      <c r="F29" s="483"/>
      <c r="G29" s="483"/>
    </row>
    <row r="30" spans="1:7" ht="15" customHeight="1">
      <c r="A30" s="832" t="s">
        <v>305</v>
      </c>
      <c r="B30" s="833" t="s">
        <v>515</v>
      </c>
      <c r="C30" s="839" t="s">
        <v>767</v>
      </c>
      <c r="E30" s="483"/>
      <c r="F30" s="483"/>
      <c r="G30" s="483"/>
    </row>
    <row r="31" spans="1:7" ht="15" customHeight="1">
      <c r="A31" s="832" t="s">
        <v>772</v>
      </c>
      <c r="B31" s="833" t="s">
        <v>517</v>
      </c>
      <c r="C31" s="839" t="s">
        <v>767</v>
      </c>
      <c r="E31" s="483"/>
      <c r="F31" s="483"/>
      <c r="G31" s="483"/>
    </row>
    <row r="32" spans="1:7" ht="15.75">
      <c r="A32" s="832">
        <v>6</v>
      </c>
      <c r="B32" s="1058" t="s">
        <v>773</v>
      </c>
      <c r="C32" s="1059"/>
      <c r="E32" s="483"/>
      <c r="F32" s="483"/>
      <c r="G32" s="483"/>
    </row>
    <row r="33" spans="1:7" ht="31.5">
      <c r="A33" s="832" t="s">
        <v>774</v>
      </c>
      <c r="B33" s="833" t="s">
        <v>519</v>
      </c>
      <c r="C33" s="839" t="s">
        <v>767</v>
      </c>
      <c r="E33" s="483"/>
      <c r="F33" s="483"/>
      <c r="G33" s="483"/>
    </row>
    <row r="34" spans="1:7" ht="46.5" customHeight="1" thickBot="1">
      <c r="A34" s="313" t="s">
        <v>776</v>
      </c>
      <c r="B34" s="835" t="s">
        <v>777</v>
      </c>
      <c r="C34" s="839" t="s">
        <v>769</v>
      </c>
      <c r="E34" s="483"/>
      <c r="F34" s="483"/>
      <c r="G34" s="483"/>
    </row>
    <row r="37" spans="1:3" ht="15.75">
      <c r="A37" s="1060" t="str">
        <f>'11.2 (ДЭС-5 с. УХ)'!A39:C39</f>
        <v>Начальник ПТО                                                                      С. А. Апекин</v>
      </c>
      <c r="B37" s="1060"/>
      <c r="C37" s="1060"/>
    </row>
    <row r="39" spans="1:3" ht="15.75">
      <c r="A39" s="427"/>
      <c r="B39" s="427"/>
      <c r="C39" s="427"/>
    </row>
    <row r="40" spans="1:3" ht="15.75">
      <c r="A40" s="427"/>
      <c r="B40" s="427"/>
      <c r="C40" s="427"/>
    </row>
    <row r="41" spans="1:3" ht="15.75">
      <c r="A41" s="427"/>
      <c r="B41" s="427"/>
      <c r="C41" s="427"/>
    </row>
    <row r="42" spans="1:3" ht="15.75">
      <c r="A42" s="427"/>
      <c r="B42" s="427"/>
      <c r="C42" s="427"/>
    </row>
    <row r="43" spans="1:3" ht="15.75">
      <c r="A43" s="427"/>
      <c r="B43" s="427"/>
      <c r="C43" s="427"/>
    </row>
    <row r="44" spans="1:3" ht="15.75">
      <c r="A44" s="427"/>
      <c r="B44" s="427"/>
      <c r="C44" s="427"/>
    </row>
    <row r="45" spans="1:3" ht="15.75">
      <c r="A45" s="427"/>
      <c r="B45" s="427"/>
      <c r="C45" s="427"/>
    </row>
    <row r="46" spans="1:3" ht="15.75">
      <c r="A46" s="427"/>
      <c r="B46" s="427"/>
      <c r="C46" s="427"/>
    </row>
    <row r="47" spans="1:3" ht="15.75">
      <c r="A47" s="427"/>
      <c r="B47" s="427"/>
      <c r="C47" s="427"/>
    </row>
    <row r="48" spans="1:3" ht="15.75">
      <c r="A48" s="427"/>
      <c r="B48" s="427"/>
      <c r="C48" s="427"/>
    </row>
    <row r="49" spans="1:3" ht="15.75">
      <c r="A49" s="427"/>
      <c r="B49" s="427"/>
      <c r="C49" s="427"/>
    </row>
    <row r="50" spans="1:3" ht="15.75">
      <c r="A50" s="427"/>
      <c r="B50" s="427"/>
      <c r="C50" s="427"/>
    </row>
    <row r="51" spans="1:3" ht="15.75">
      <c r="A51" s="427"/>
      <c r="B51" s="427"/>
      <c r="C51" s="427"/>
    </row>
    <row r="52" spans="1:3" ht="15.75">
      <c r="A52" s="427"/>
      <c r="B52" s="427"/>
      <c r="C52" s="427"/>
    </row>
    <row r="53" spans="1:3" ht="15.75">
      <c r="A53" s="427"/>
      <c r="B53" s="427"/>
      <c r="C53" s="427"/>
    </row>
    <row r="54" spans="1:3" ht="15.75">
      <c r="A54" s="427"/>
      <c r="B54" s="427"/>
      <c r="C54" s="427"/>
    </row>
    <row r="55" spans="1:3" ht="15.75">
      <c r="A55" s="427"/>
      <c r="B55" s="427"/>
      <c r="C55" s="427"/>
    </row>
    <row r="56" spans="1:3" ht="15.75">
      <c r="A56" s="427"/>
      <c r="B56" s="427"/>
      <c r="C56" s="427"/>
    </row>
    <row r="57" spans="1:3" ht="15.75">
      <c r="A57" s="427"/>
      <c r="B57" s="427"/>
      <c r="C57" s="427"/>
    </row>
    <row r="58" spans="1:3" ht="15.75">
      <c r="A58" s="427"/>
      <c r="B58" s="427"/>
      <c r="C58" s="427"/>
    </row>
    <row r="59" spans="1:3" ht="15.75">
      <c r="A59" s="427"/>
      <c r="B59" s="427"/>
      <c r="C59" s="427"/>
    </row>
    <row r="60" spans="1:3" ht="15.75">
      <c r="A60" s="427"/>
      <c r="B60" s="427"/>
      <c r="C60" s="427"/>
    </row>
  </sheetData>
  <sheetProtection/>
  <mergeCells count="9">
    <mergeCell ref="B29:C29"/>
    <mergeCell ref="B32:C32"/>
    <mergeCell ref="A37:C37"/>
    <mergeCell ref="A12:C12"/>
    <mergeCell ref="A13:C13"/>
    <mergeCell ref="B16:C16"/>
    <mergeCell ref="B19:C19"/>
    <mergeCell ref="B21:C21"/>
    <mergeCell ref="B25:C25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2D050"/>
  </sheetPr>
  <dimension ref="A1:P60"/>
  <sheetViews>
    <sheetView view="pageBreakPreview" zoomScale="75" zoomScaleSheetLayoutView="75" zoomScalePageLayoutView="0" workbookViewId="0" topLeftCell="A1">
      <selection activeCell="B50" sqref="B50"/>
    </sheetView>
  </sheetViews>
  <sheetFormatPr defaultColWidth="9.00390625" defaultRowHeight="15.75" outlineLevelRow="1"/>
  <cols>
    <col min="1" max="1" width="14.125" style="108" customWidth="1"/>
    <col min="2" max="2" width="57.375" style="108" customWidth="1"/>
    <col min="3" max="3" width="16.375" style="827" customWidth="1"/>
    <col min="4" max="4" width="9.00390625" style="108" customWidth="1"/>
    <col min="5" max="5" width="9.75390625" style="108" bestFit="1" customWidth="1"/>
    <col min="6" max="16384" width="9.00390625" style="108" customWidth="1"/>
  </cols>
  <sheetData>
    <row r="1" ht="15.75" outlineLevel="1">
      <c r="C1" s="822" t="s">
        <v>763</v>
      </c>
    </row>
    <row r="2" ht="15.75" outlineLevel="1">
      <c r="C2" s="822" t="s">
        <v>37</v>
      </c>
    </row>
    <row r="3" ht="15.75" outlineLevel="1">
      <c r="C3" s="823" t="s">
        <v>379</v>
      </c>
    </row>
    <row r="4" ht="15.75" outlineLevel="1">
      <c r="C4" s="824"/>
    </row>
    <row r="5" ht="15.75" outlineLevel="1">
      <c r="C5" s="824" t="s">
        <v>38</v>
      </c>
    </row>
    <row r="6" ht="15.75" outlineLevel="1">
      <c r="C6" s="824" t="s">
        <v>647</v>
      </c>
    </row>
    <row r="7" ht="15.75" outlineLevel="1">
      <c r="C7" s="824"/>
    </row>
    <row r="8" ht="15.75" outlineLevel="1">
      <c r="C8" s="824" t="s">
        <v>648</v>
      </c>
    </row>
    <row r="9" ht="15.75" outlineLevel="1">
      <c r="C9" s="109" t="s">
        <v>795</v>
      </c>
    </row>
    <row r="10" ht="15.75" outlineLevel="1">
      <c r="C10" s="824" t="s">
        <v>42</v>
      </c>
    </row>
    <row r="11" ht="15.75">
      <c r="C11" s="825"/>
    </row>
    <row r="12" spans="1:16" ht="42.75" customHeight="1">
      <c r="A12" s="1061" t="s">
        <v>792</v>
      </c>
      <c r="B12" s="1061"/>
      <c r="C12" s="1061"/>
      <c r="D12" s="826"/>
      <c r="E12" s="826"/>
      <c r="F12" s="826"/>
      <c r="G12" s="826"/>
      <c r="H12" s="826"/>
      <c r="I12" s="826"/>
      <c r="J12" s="826"/>
      <c r="K12" s="826"/>
      <c r="L12" s="826"/>
      <c r="M12" s="826"/>
      <c r="N12" s="826"/>
      <c r="O12" s="826"/>
      <c r="P12" s="826"/>
    </row>
    <row r="13" spans="1:3" ht="48.75" customHeight="1">
      <c r="A13" s="1062" t="s">
        <v>758</v>
      </c>
      <c r="B13" s="1062"/>
      <c r="C13" s="1062"/>
    </row>
    <row r="14" ht="16.5" thickBot="1"/>
    <row r="15" spans="1:3" ht="21.75" customHeight="1" thickBot="1">
      <c r="A15" s="828" t="s">
        <v>764</v>
      </c>
      <c r="B15" s="829" t="s">
        <v>529</v>
      </c>
      <c r="C15" s="830" t="s">
        <v>765</v>
      </c>
    </row>
    <row r="16" spans="1:3" ht="15.75" hidden="1">
      <c r="A16" s="831" t="s">
        <v>237</v>
      </c>
      <c r="B16" s="1063" t="s">
        <v>766</v>
      </c>
      <c r="C16" s="1064"/>
    </row>
    <row r="17" spans="1:3" ht="15.75" hidden="1">
      <c r="A17" s="832" t="s">
        <v>238</v>
      </c>
      <c r="B17" s="833" t="s">
        <v>499</v>
      </c>
      <c r="C17" s="834"/>
    </row>
    <row r="18" spans="1:3" ht="31.5" hidden="1">
      <c r="A18" s="832" t="s">
        <v>239</v>
      </c>
      <c r="B18" s="833" t="s">
        <v>526</v>
      </c>
      <c r="C18" s="834"/>
    </row>
    <row r="19" spans="1:3" ht="15.75" hidden="1">
      <c r="A19" s="832" t="s">
        <v>240</v>
      </c>
      <c r="B19" s="1065" t="s">
        <v>768</v>
      </c>
      <c r="C19" s="1066"/>
    </row>
    <row r="20" spans="1:3" ht="15.75" hidden="1">
      <c r="A20" s="832" t="s">
        <v>238</v>
      </c>
      <c r="B20" s="833" t="s">
        <v>499</v>
      </c>
      <c r="C20" s="834"/>
    </row>
    <row r="21" spans="1:3" ht="15.75" hidden="1">
      <c r="A21" s="832" t="s">
        <v>240</v>
      </c>
      <c r="B21" s="1065" t="s">
        <v>768</v>
      </c>
      <c r="C21" s="1066"/>
    </row>
    <row r="22" spans="1:3" ht="15.75" hidden="1">
      <c r="A22" s="832" t="s">
        <v>242</v>
      </c>
      <c r="B22" s="837" t="s">
        <v>501</v>
      </c>
      <c r="C22" s="834"/>
    </row>
    <row r="23" spans="1:3" ht="15.75" hidden="1">
      <c r="A23" s="832" t="s">
        <v>244</v>
      </c>
      <c r="B23" s="837" t="s">
        <v>503</v>
      </c>
      <c r="C23" s="834"/>
    </row>
    <row r="24" spans="1:3" ht="15.75" hidden="1">
      <c r="A24" s="832" t="s">
        <v>334</v>
      </c>
      <c r="B24" s="833" t="s">
        <v>505</v>
      </c>
      <c r="C24" s="834"/>
    </row>
    <row r="25" spans="1:3" ht="15.75" hidden="1">
      <c r="A25" s="832">
        <v>3</v>
      </c>
      <c r="B25" s="1058" t="s">
        <v>770</v>
      </c>
      <c r="C25" s="1059"/>
    </row>
    <row r="26" spans="1:3" ht="31.5" hidden="1">
      <c r="A26" s="832" t="s">
        <v>365</v>
      </c>
      <c r="B26" s="833" t="s">
        <v>507</v>
      </c>
      <c r="C26" s="834"/>
    </row>
    <row r="27" spans="1:3" ht="31.5" hidden="1">
      <c r="A27" s="832" t="s">
        <v>366</v>
      </c>
      <c r="B27" s="833" t="s">
        <v>509</v>
      </c>
      <c r="C27" s="834"/>
    </row>
    <row r="28" spans="1:7" ht="15.75">
      <c r="A28" s="832" t="s">
        <v>367</v>
      </c>
      <c r="B28" s="833" t="s">
        <v>636</v>
      </c>
      <c r="C28" s="834" t="s">
        <v>769</v>
      </c>
      <c r="E28" s="483"/>
      <c r="F28" s="483"/>
      <c r="G28" s="483"/>
    </row>
    <row r="29" spans="1:7" ht="15.75">
      <c r="A29" s="832">
        <v>4</v>
      </c>
      <c r="B29" s="1058" t="s">
        <v>771</v>
      </c>
      <c r="C29" s="1059"/>
      <c r="E29" s="483"/>
      <c r="F29" s="483"/>
      <c r="G29" s="483"/>
    </row>
    <row r="30" spans="1:7" ht="15" customHeight="1">
      <c r="A30" s="832" t="s">
        <v>305</v>
      </c>
      <c r="B30" s="833" t="s">
        <v>515</v>
      </c>
      <c r="C30" s="839"/>
      <c r="E30" s="483"/>
      <c r="F30" s="483"/>
      <c r="G30" s="483"/>
    </row>
    <row r="31" spans="1:7" ht="15" customHeight="1">
      <c r="A31" s="832" t="s">
        <v>772</v>
      </c>
      <c r="B31" s="833" t="s">
        <v>517</v>
      </c>
      <c r="C31" s="839"/>
      <c r="E31" s="483"/>
      <c r="F31" s="483"/>
      <c r="G31" s="483"/>
    </row>
    <row r="32" spans="1:7" ht="15.75">
      <c r="A32" s="832">
        <v>6</v>
      </c>
      <c r="B32" s="1058" t="s">
        <v>773</v>
      </c>
      <c r="C32" s="1059"/>
      <c r="E32" s="483"/>
      <c r="F32" s="483"/>
      <c r="G32" s="483"/>
    </row>
    <row r="33" spans="1:7" ht="31.5">
      <c r="A33" s="832" t="s">
        <v>774</v>
      </c>
      <c r="B33" s="833" t="s">
        <v>519</v>
      </c>
      <c r="C33" s="839"/>
      <c r="E33" s="483"/>
      <c r="F33" s="483"/>
      <c r="G33" s="483"/>
    </row>
    <row r="34" spans="1:7" ht="46.5" customHeight="1" thickBot="1">
      <c r="A34" s="313" t="s">
        <v>776</v>
      </c>
      <c r="B34" s="835" t="s">
        <v>777</v>
      </c>
      <c r="C34" s="839"/>
      <c r="E34" s="483"/>
      <c r="F34" s="483"/>
      <c r="G34" s="483"/>
    </row>
    <row r="37" spans="1:3" ht="15.75">
      <c r="A37" s="1060" t="str">
        <f>'11.2 (ДЭС-5 с. УХ)'!A39:C39</f>
        <v>Начальник ПТО                                                                      С. А. Апекин</v>
      </c>
      <c r="B37" s="1060"/>
      <c r="C37" s="1060"/>
    </row>
    <row r="39" spans="1:3" ht="15.75">
      <c r="A39" s="427"/>
      <c r="B39" s="427"/>
      <c r="C39" s="427"/>
    </row>
    <row r="40" spans="1:3" ht="15.75">
      <c r="A40" s="427"/>
      <c r="B40" s="427"/>
      <c r="C40" s="427"/>
    </row>
    <row r="41" spans="1:3" ht="15.75">
      <c r="A41" s="427"/>
      <c r="B41" s="427"/>
      <c r="C41" s="427"/>
    </row>
    <row r="42" spans="1:3" ht="15.75">
      <c r="A42" s="427"/>
      <c r="B42" s="427"/>
      <c r="C42" s="427"/>
    </row>
    <row r="43" spans="1:3" ht="15.75">
      <c r="A43" s="427"/>
      <c r="B43" s="427"/>
      <c r="C43" s="427"/>
    </row>
    <row r="44" spans="1:3" ht="15.75">
      <c r="A44" s="427"/>
      <c r="B44" s="427"/>
      <c r="C44" s="427"/>
    </row>
    <row r="45" spans="1:3" ht="15.75">
      <c r="A45" s="427"/>
      <c r="B45" s="427"/>
      <c r="C45" s="427"/>
    </row>
    <row r="46" spans="1:3" ht="15.75">
      <c r="A46" s="427"/>
      <c r="B46" s="427"/>
      <c r="C46" s="427"/>
    </row>
    <row r="47" spans="1:3" ht="15.75">
      <c r="A47" s="427"/>
      <c r="B47" s="427"/>
      <c r="C47" s="427"/>
    </row>
    <row r="48" spans="1:3" ht="15.75">
      <c r="A48" s="427"/>
      <c r="B48" s="427"/>
      <c r="C48" s="427"/>
    </row>
    <row r="49" spans="1:3" ht="15.75">
      <c r="A49" s="427"/>
      <c r="B49" s="427"/>
      <c r="C49" s="427"/>
    </row>
    <row r="50" spans="1:3" ht="15.75">
      <c r="A50" s="427"/>
      <c r="B50" s="427"/>
      <c r="C50" s="427"/>
    </row>
    <row r="51" spans="1:3" ht="15.75">
      <c r="A51" s="427"/>
      <c r="B51" s="427"/>
      <c r="C51" s="427"/>
    </row>
    <row r="52" spans="1:3" ht="15.75">
      <c r="A52" s="427"/>
      <c r="B52" s="427"/>
      <c r="C52" s="427"/>
    </row>
    <row r="53" spans="1:3" ht="15.75">
      <c r="A53" s="427"/>
      <c r="B53" s="427"/>
      <c r="C53" s="427"/>
    </row>
    <row r="54" spans="1:3" ht="15.75">
      <c r="A54" s="427"/>
      <c r="B54" s="427"/>
      <c r="C54" s="427"/>
    </row>
    <row r="55" spans="1:3" ht="15.75">
      <c r="A55" s="427"/>
      <c r="B55" s="427"/>
      <c r="C55" s="427"/>
    </row>
    <row r="56" spans="1:3" ht="15.75">
      <c r="A56" s="427"/>
      <c r="B56" s="427"/>
      <c r="C56" s="427"/>
    </row>
    <row r="57" spans="1:3" ht="15.75">
      <c r="A57" s="427"/>
      <c r="B57" s="427"/>
      <c r="C57" s="427"/>
    </row>
    <row r="58" spans="1:3" ht="15.75">
      <c r="A58" s="427"/>
      <c r="B58" s="427"/>
      <c r="C58" s="427"/>
    </row>
    <row r="59" spans="1:3" ht="15.75">
      <c r="A59" s="427"/>
      <c r="B59" s="427"/>
      <c r="C59" s="427"/>
    </row>
    <row r="60" spans="1:3" ht="15.75">
      <c r="A60" s="427"/>
      <c r="B60" s="427"/>
      <c r="C60" s="427"/>
    </row>
  </sheetData>
  <sheetProtection/>
  <mergeCells count="9">
    <mergeCell ref="B29:C29"/>
    <mergeCell ref="B32:C32"/>
    <mergeCell ref="A37:C37"/>
    <mergeCell ref="A12:C12"/>
    <mergeCell ref="A13:C13"/>
    <mergeCell ref="B16:C16"/>
    <mergeCell ref="B19:C19"/>
    <mergeCell ref="B21:C21"/>
    <mergeCell ref="B25:C25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60"/>
  <sheetViews>
    <sheetView view="pageBreakPreview" zoomScale="75" zoomScaleSheetLayoutView="75" zoomScalePageLayoutView="0" workbookViewId="0" topLeftCell="A4">
      <selection activeCell="B51" sqref="B51"/>
    </sheetView>
  </sheetViews>
  <sheetFormatPr defaultColWidth="9.00390625" defaultRowHeight="15.75" outlineLevelRow="1"/>
  <cols>
    <col min="1" max="1" width="14.125" style="108" customWidth="1"/>
    <col min="2" max="2" width="57.375" style="108" customWidth="1"/>
    <col min="3" max="3" width="16.375" style="827" customWidth="1"/>
    <col min="4" max="4" width="9.00390625" style="108" customWidth="1"/>
    <col min="5" max="5" width="9.75390625" style="108" bestFit="1" customWidth="1"/>
    <col min="6" max="16384" width="9.00390625" style="108" customWidth="1"/>
  </cols>
  <sheetData>
    <row r="1" ht="15.75" outlineLevel="1">
      <c r="C1" s="822" t="s">
        <v>763</v>
      </c>
    </row>
    <row r="2" ht="15.75" outlineLevel="1">
      <c r="C2" s="822" t="s">
        <v>37</v>
      </c>
    </row>
    <row r="3" ht="15.75" outlineLevel="1">
      <c r="C3" s="823" t="s">
        <v>379</v>
      </c>
    </row>
    <row r="4" ht="15.75" outlineLevel="1">
      <c r="C4" s="824"/>
    </row>
    <row r="5" ht="15.75" outlineLevel="1">
      <c r="C5" s="824" t="s">
        <v>38</v>
      </c>
    </row>
    <row r="6" ht="15.75" outlineLevel="1">
      <c r="C6" s="824" t="s">
        <v>647</v>
      </c>
    </row>
    <row r="7" ht="15.75" outlineLevel="1">
      <c r="C7" s="824"/>
    </row>
    <row r="8" ht="15.75" outlineLevel="1">
      <c r="C8" s="824" t="s">
        <v>648</v>
      </c>
    </row>
    <row r="9" ht="15.75" outlineLevel="1">
      <c r="C9" s="109" t="s">
        <v>795</v>
      </c>
    </row>
    <row r="10" ht="15.75" outlineLevel="1">
      <c r="C10" s="824" t="s">
        <v>42</v>
      </c>
    </row>
    <row r="11" ht="15.75">
      <c r="C11" s="825"/>
    </row>
    <row r="12" spans="1:16" ht="42.75" customHeight="1">
      <c r="A12" s="1061" t="s">
        <v>792</v>
      </c>
      <c r="B12" s="1061"/>
      <c r="C12" s="1061"/>
      <c r="D12" s="826"/>
      <c r="E12" s="826"/>
      <c r="F12" s="826"/>
      <c r="G12" s="826"/>
      <c r="H12" s="826"/>
      <c r="I12" s="826"/>
      <c r="J12" s="826"/>
      <c r="K12" s="826"/>
      <c r="L12" s="826"/>
      <c r="M12" s="826"/>
      <c r="N12" s="826"/>
      <c r="O12" s="826"/>
      <c r="P12" s="826"/>
    </row>
    <row r="13" spans="1:3" ht="30.75" customHeight="1">
      <c r="A13" s="1062" t="s">
        <v>661</v>
      </c>
      <c r="B13" s="1062"/>
      <c r="C13" s="1062"/>
    </row>
    <row r="14" ht="16.5" thickBot="1"/>
    <row r="15" spans="1:3" ht="21.75" customHeight="1" thickBot="1">
      <c r="A15" s="828" t="s">
        <v>764</v>
      </c>
      <c r="B15" s="829" t="s">
        <v>529</v>
      </c>
      <c r="C15" s="830" t="s">
        <v>765</v>
      </c>
    </row>
    <row r="16" spans="1:3" ht="15.75" hidden="1">
      <c r="A16" s="831" t="s">
        <v>237</v>
      </c>
      <c r="B16" s="1063" t="s">
        <v>766</v>
      </c>
      <c r="C16" s="1064"/>
    </row>
    <row r="17" spans="1:3" ht="15.75" hidden="1">
      <c r="A17" s="832" t="s">
        <v>238</v>
      </c>
      <c r="B17" s="833" t="s">
        <v>499</v>
      </c>
      <c r="C17" s="834"/>
    </row>
    <row r="18" spans="1:3" ht="31.5" hidden="1">
      <c r="A18" s="832" t="s">
        <v>239</v>
      </c>
      <c r="B18" s="833" t="s">
        <v>526</v>
      </c>
      <c r="C18" s="834"/>
    </row>
    <row r="19" spans="1:3" ht="15.75" hidden="1">
      <c r="A19" s="832" t="s">
        <v>240</v>
      </c>
      <c r="B19" s="1065" t="s">
        <v>768</v>
      </c>
      <c r="C19" s="1066"/>
    </row>
    <row r="20" spans="1:3" ht="15.75" hidden="1">
      <c r="A20" s="832" t="s">
        <v>238</v>
      </c>
      <c r="B20" s="833" t="s">
        <v>499</v>
      </c>
      <c r="C20" s="834"/>
    </row>
    <row r="21" spans="1:3" ht="15.75" hidden="1">
      <c r="A21" s="832" t="s">
        <v>240</v>
      </c>
      <c r="B21" s="1065" t="s">
        <v>768</v>
      </c>
      <c r="C21" s="1066"/>
    </row>
    <row r="22" spans="1:3" ht="15.75" hidden="1">
      <c r="A22" s="832" t="s">
        <v>242</v>
      </c>
      <c r="B22" s="837" t="s">
        <v>501</v>
      </c>
      <c r="C22" s="834"/>
    </row>
    <row r="23" spans="1:3" ht="15.75" hidden="1">
      <c r="A23" s="832" t="s">
        <v>244</v>
      </c>
      <c r="B23" s="837" t="s">
        <v>503</v>
      </c>
      <c r="C23" s="834"/>
    </row>
    <row r="24" spans="1:3" ht="15.75" hidden="1">
      <c r="A24" s="832" t="s">
        <v>334</v>
      </c>
      <c r="B24" s="833" t="s">
        <v>505</v>
      </c>
      <c r="C24" s="834"/>
    </row>
    <row r="25" spans="1:3" ht="15.75" hidden="1">
      <c r="A25" s="832">
        <v>3</v>
      </c>
      <c r="B25" s="1058" t="s">
        <v>770</v>
      </c>
      <c r="C25" s="1059"/>
    </row>
    <row r="26" spans="1:3" ht="31.5" hidden="1">
      <c r="A26" s="832" t="s">
        <v>365</v>
      </c>
      <c r="B26" s="833" t="s">
        <v>507</v>
      </c>
      <c r="C26" s="834"/>
    </row>
    <row r="27" spans="1:3" ht="31.5" hidden="1">
      <c r="A27" s="832" t="s">
        <v>366</v>
      </c>
      <c r="B27" s="833" t="s">
        <v>509</v>
      </c>
      <c r="C27" s="834"/>
    </row>
    <row r="28" spans="1:7" ht="15.75">
      <c r="A28" s="832" t="s">
        <v>367</v>
      </c>
      <c r="B28" s="833" t="s">
        <v>636</v>
      </c>
      <c r="C28" s="834" t="s">
        <v>769</v>
      </c>
      <c r="E28" s="483"/>
      <c r="F28" s="483"/>
      <c r="G28" s="483"/>
    </row>
    <row r="29" spans="1:7" ht="15.75">
      <c r="A29" s="832">
        <v>4</v>
      </c>
      <c r="B29" s="1058" t="s">
        <v>771</v>
      </c>
      <c r="C29" s="1059"/>
      <c r="E29" s="483"/>
      <c r="F29" s="483"/>
      <c r="G29" s="483"/>
    </row>
    <row r="30" spans="1:7" ht="15" customHeight="1">
      <c r="A30" s="832" t="s">
        <v>305</v>
      </c>
      <c r="B30" s="833" t="s">
        <v>515</v>
      </c>
      <c r="C30" s="834" t="s">
        <v>767</v>
      </c>
      <c r="E30" s="483"/>
      <c r="F30" s="483"/>
      <c r="G30" s="483"/>
    </row>
    <row r="31" spans="1:7" ht="15" customHeight="1">
      <c r="A31" s="832" t="s">
        <v>772</v>
      </c>
      <c r="B31" s="833" t="s">
        <v>517</v>
      </c>
      <c r="C31" s="834" t="s">
        <v>767</v>
      </c>
      <c r="E31" s="483"/>
      <c r="F31" s="483"/>
      <c r="G31" s="483"/>
    </row>
    <row r="32" spans="1:7" ht="15.75">
      <c r="A32" s="832">
        <v>6</v>
      </c>
      <c r="B32" s="1058" t="s">
        <v>773</v>
      </c>
      <c r="C32" s="1059"/>
      <c r="E32" s="483"/>
      <c r="F32" s="483"/>
      <c r="G32" s="483"/>
    </row>
    <row r="33" spans="1:7" ht="31.5">
      <c r="A33" s="832" t="s">
        <v>774</v>
      </c>
      <c r="B33" s="833" t="s">
        <v>519</v>
      </c>
      <c r="C33" s="834" t="s">
        <v>767</v>
      </c>
      <c r="E33" s="483"/>
      <c r="F33" s="483"/>
      <c r="G33" s="483"/>
    </row>
    <row r="34" spans="1:7" ht="46.5" customHeight="1" thickBot="1">
      <c r="A34" s="313" t="s">
        <v>776</v>
      </c>
      <c r="B34" s="835" t="s">
        <v>777</v>
      </c>
      <c r="C34" s="836" t="s">
        <v>769</v>
      </c>
      <c r="E34" s="483"/>
      <c r="F34" s="483"/>
      <c r="G34" s="483"/>
    </row>
    <row r="37" spans="1:3" ht="15.75">
      <c r="A37" s="1060" t="str">
        <f>'11.2 (Склад ГСМ с.Ковран)'!A39:C39</f>
        <v>Начальник ПТО                                                                      С. А. Апекин</v>
      </c>
      <c r="B37" s="1060"/>
      <c r="C37" s="1060"/>
    </row>
    <row r="39" spans="1:3" ht="15.75">
      <c r="A39" s="427"/>
      <c r="B39" s="427"/>
      <c r="C39" s="427"/>
    </row>
    <row r="40" spans="1:3" ht="15.75">
      <c r="A40" s="427"/>
      <c r="B40" s="427"/>
      <c r="C40" s="427"/>
    </row>
    <row r="41" spans="1:3" ht="15.75">
      <c r="A41" s="427"/>
      <c r="B41" s="427"/>
      <c r="C41" s="427"/>
    </row>
    <row r="42" spans="1:3" ht="15.75">
      <c r="A42" s="427"/>
      <c r="B42" s="427"/>
      <c r="C42" s="427"/>
    </row>
    <row r="43" spans="1:3" ht="15.75">
      <c r="A43" s="427"/>
      <c r="B43" s="427"/>
      <c r="C43" s="427"/>
    </row>
    <row r="44" spans="1:3" ht="15.75">
      <c r="A44" s="427"/>
      <c r="B44" s="427"/>
      <c r="C44" s="427"/>
    </row>
    <row r="45" spans="1:3" ht="15.75">
      <c r="A45" s="427"/>
      <c r="B45" s="427"/>
      <c r="C45" s="427"/>
    </row>
    <row r="46" spans="1:3" ht="15.75">
      <c r="A46" s="427"/>
      <c r="B46" s="427"/>
      <c r="C46" s="427"/>
    </row>
    <row r="47" spans="1:3" ht="15.75">
      <c r="A47" s="427"/>
      <c r="B47" s="427"/>
      <c r="C47" s="427"/>
    </row>
    <row r="48" spans="1:3" ht="15.75">
      <c r="A48" s="427"/>
      <c r="B48" s="427"/>
      <c r="C48" s="427"/>
    </row>
    <row r="49" spans="1:3" ht="15.75">
      <c r="A49" s="427"/>
      <c r="B49" s="427"/>
      <c r="C49" s="427"/>
    </row>
    <row r="50" spans="1:3" ht="15.75">
      <c r="A50" s="427"/>
      <c r="B50" s="427"/>
      <c r="C50" s="427"/>
    </row>
    <row r="51" spans="1:3" ht="15.75">
      <c r="A51" s="427"/>
      <c r="B51" s="427"/>
      <c r="C51" s="427"/>
    </row>
    <row r="52" spans="1:3" ht="15.75">
      <c r="A52" s="427"/>
      <c r="B52" s="427"/>
      <c r="C52" s="427"/>
    </row>
    <row r="53" spans="1:3" ht="15.75">
      <c r="A53" s="427"/>
      <c r="B53" s="427"/>
      <c r="C53" s="427"/>
    </row>
    <row r="54" spans="1:3" ht="15.75">
      <c r="A54" s="427"/>
      <c r="B54" s="427"/>
      <c r="C54" s="427"/>
    </row>
    <row r="55" spans="1:3" ht="15.75">
      <c r="A55" s="427"/>
      <c r="B55" s="427"/>
      <c r="C55" s="427"/>
    </row>
    <row r="56" spans="1:3" ht="15.75">
      <c r="A56" s="427"/>
      <c r="B56" s="427"/>
      <c r="C56" s="427"/>
    </row>
    <row r="57" spans="1:3" ht="15.75">
      <c r="A57" s="427"/>
      <c r="B57" s="427"/>
      <c r="C57" s="427"/>
    </row>
    <row r="58" spans="1:3" ht="15.75">
      <c r="A58" s="427"/>
      <c r="B58" s="427"/>
      <c r="C58" s="427"/>
    </row>
    <row r="59" spans="1:3" ht="15.75">
      <c r="A59" s="427"/>
      <c r="B59" s="427"/>
      <c r="C59" s="427"/>
    </row>
    <row r="60" spans="1:3" ht="15.75">
      <c r="A60" s="427"/>
      <c r="B60" s="427"/>
      <c r="C60" s="427"/>
    </row>
  </sheetData>
  <sheetProtection/>
  <mergeCells count="9">
    <mergeCell ref="B29:C29"/>
    <mergeCell ref="B32:C32"/>
    <mergeCell ref="A37:C37"/>
    <mergeCell ref="A12:C12"/>
    <mergeCell ref="A13:C13"/>
    <mergeCell ref="B16:C16"/>
    <mergeCell ref="B19:C19"/>
    <mergeCell ref="B21:C21"/>
    <mergeCell ref="B25:C25"/>
  </mergeCells>
  <printOptions/>
  <pageMargins left="0.7" right="0.2" top="0.35" bottom="0.36" header="0.3" footer="0.3"/>
  <pageSetup fitToHeight="2" fitToWidth="1"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92D050"/>
  </sheetPr>
  <dimension ref="A1:P59"/>
  <sheetViews>
    <sheetView view="pageBreakPreview" zoomScale="75" zoomScaleSheetLayoutView="75" zoomScalePageLayoutView="0" workbookViewId="0" topLeftCell="A1">
      <selection activeCell="K44" sqref="K44"/>
    </sheetView>
  </sheetViews>
  <sheetFormatPr defaultColWidth="9.00390625" defaultRowHeight="15.75" outlineLevelRow="1"/>
  <cols>
    <col min="1" max="1" width="14.125" style="108" customWidth="1"/>
    <col min="2" max="2" width="57.375" style="108" customWidth="1"/>
    <col min="3" max="3" width="16.375" style="827" customWidth="1"/>
    <col min="4" max="4" width="9.00390625" style="108" customWidth="1"/>
    <col min="5" max="5" width="9.75390625" style="108" bestFit="1" customWidth="1"/>
    <col min="6" max="16384" width="9.00390625" style="108" customWidth="1"/>
  </cols>
  <sheetData>
    <row r="1" ht="15.75" outlineLevel="1">
      <c r="C1" s="822" t="s">
        <v>763</v>
      </c>
    </row>
    <row r="2" ht="15.75" outlineLevel="1">
      <c r="C2" s="822" t="s">
        <v>37</v>
      </c>
    </row>
    <row r="3" ht="15.75" outlineLevel="1">
      <c r="C3" s="823" t="s">
        <v>379</v>
      </c>
    </row>
    <row r="4" ht="15.75" outlineLevel="1">
      <c r="C4" s="824"/>
    </row>
    <row r="5" ht="15.75" outlineLevel="1">
      <c r="C5" s="824" t="s">
        <v>38</v>
      </c>
    </row>
    <row r="6" ht="15.75" outlineLevel="1">
      <c r="C6" s="824" t="s">
        <v>647</v>
      </c>
    </row>
    <row r="7" ht="15.75" outlineLevel="1">
      <c r="C7" s="824"/>
    </row>
    <row r="8" ht="15.75" outlineLevel="1">
      <c r="C8" s="824" t="s">
        <v>648</v>
      </c>
    </row>
    <row r="9" ht="15.75" outlineLevel="1">
      <c r="C9" s="109" t="s">
        <v>795</v>
      </c>
    </row>
    <row r="10" ht="15.75" outlineLevel="1">
      <c r="C10" s="824" t="s">
        <v>42</v>
      </c>
    </row>
    <row r="11" ht="15.75">
      <c r="C11" s="825"/>
    </row>
    <row r="12" spans="1:16" ht="42.75" customHeight="1">
      <c r="A12" s="1061" t="s">
        <v>792</v>
      </c>
      <c r="B12" s="1061"/>
      <c r="C12" s="1061"/>
      <c r="D12" s="826"/>
      <c r="E12" s="826"/>
      <c r="F12" s="826"/>
      <c r="G12" s="826"/>
      <c r="H12" s="826"/>
      <c r="I12" s="826"/>
      <c r="J12" s="826"/>
      <c r="K12" s="826"/>
      <c r="L12" s="826"/>
      <c r="M12" s="826"/>
      <c r="N12" s="826"/>
      <c r="O12" s="826"/>
      <c r="P12" s="826"/>
    </row>
    <row r="13" spans="1:3" ht="30.75" customHeight="1">
      <c r="A13" s="1062" t="s">
        <v>759</v>
      </c>
      <c r="B13" s="1062"/>
      <c r="C13" s="1062"/>
    </row>
    <row r="14" ht="16.5" thickBot="1"/>
    <row r="15" spans="1:3" ht="21.75" customHeight="1" thickBot="1">
      <c r="A15" s="828" t="s">
        <v>764</v>
      </c>
      <c r="B15" s="829" t="s">
        <v>529</v>
      </c>
      <c r="C15" s="830" t="s">
        <v>765</v>
      </c>
    </row>
    <row r="16" spans="1:3" ht="15.75" hidden="1">
      <c r="A16" s="831" t="s">
        <v>237</v>
      </c>
      <c r="B16" s="1063" t="s">
        <v>766</v>
      </c>
      <c r="C16" s="1064"/>
    </row>
    <row r="17" spans="1:3" ht="15.75" hidden="1">
      <c r="A17" s="832" t="s">
        <v>238</v>
      </c>
      <c r="B17" s="833" t="s">
        <v>499</v>
      </c>
      <c r="C17" s="834"/>
    </row>
    <row r="18" spans="1:3" ht="31.5" hidden="1">
      <c r="A18" s="832" t="s">
        <v>239</v>
      </c>
      <c r="B18" s="833" t="s">
        <v>526</v>
      </c>
      <c r="C18" s="834"/>
    </row>
    <row r="19" spans="1:3" ht="15.75" hidden="1">
      <c r="A19" s="832" t="s">
        <v>240</v>
      </c>
      <c r="B19" s="1065" t="s">
        <v>768</v>
      </c>
      <c r="C19" s="1066"/>
    </row>
    <row r="20" spans="1:3" ht="15.75" hidden="1">
      <c r="A20" s="832" t="s">
        <v>238</v>
      </c>
      <c r="B20" s="833" t="s">
        <v>499</v>
      </c>
      <c r="C20" s="834"/>
    </row>
    <row r="21" spans="1:3" ht="15.75" hidden="1">
      <c r="A21" s="832" t="s">
        <v>240</v>
      </c>
      <c r="B21" s="1065" t="s">
        <v>768</v>
      </c>
      <c r="C21" s="1066"/>
    </row>
    <row r="22" spans="1:3" ht="15.75" hidden="1">
      <c r="A22" s="832" t="s">
        <v>242</v>
      </c>
      <c r="B22" s="837" t="s">
        <v>501</v>
      </c>
      <c r="C22" s="834"/>
    </row>
    <row r="23" spans="1:3" ht="15.75" hidden="1">
      <c r="A23" s="832" t="s">
        <v>244</v>
      </c>
      <c r="B23" s="837" t="s">
        <v>503</v>
      </c>
      <c r="C23" s="834"/>
    </row>
    <row r="24" spans="1:3" ht="15.75" hidden="1">
      <c r="A24" s="832" t="s">
        <v>334</v>
      </c>
      <c r="B24" s="833" t="s">
        <v>505</v>
      </c>
      <c r="C24" s="834"/>
    </row>
    <row r="25" spans="1:3" ht="15.75" hidden="1">
      <c r="A25" s="832">
        <v>3</v>
      </c>
      <c r="B25" s="1058" t="s">
        <v>770</v>
      </c>
      <c r="C25" s="1059"/>
    </row>
    <row r="26" spans="1:3" ht="31.5" hidden="1">
      <c r="A26" s="832" t="s">
        <v>365</v>
      </c>
      <c r="B26" s="833" t="s">
        <v>507</v>
      </c>
      <c r="C26" s="834"/>
    </row>
    <row r="27" spans="1:3" ht="31.5" hidden="1">
      <c r="A27" s="832" t="s">
        <v>366</v>
      </c>
      <c r="B27" s="833" t="s">
        <v>509</v>
      </c>
      <c r="C27" s="834"/>
    </row>
    <row r="28" spans="1:7" ht="15.75">
      <c r="A28" s="832" t="s">
        <v>367</v>
      </c>
      <c r="B28" s="833" t="s">
        <v>636</v>
      </c>
      <c r="C28" s="839" t="s">
        <v>769</v>
      </c>
      <c r="E28" s="483"/>
      <c r="F28" s="483"/>
      <c r="G28" s="483"/>
    </row>
    <row r="29" spans="1:7" ht="15.75">
      <c r="A29" s="832">
        <v>4</v>
      </c>
      <c r="B29" s="1058" t="s">
        <v>771</v>
      </c>
      <c r="C29" s="1059"/>
      <c r="E29" s="483"/>
      <c r="F29" s="483"/>
      <c r="G29" s="483"/>
    </row>
    <row r="30" spans="1:7" ht="15" customHeight="1">
      <c r="A30" s="832" t="s">
        <v>772</v>
      </c>
      <c r="B30" s="833" t="s">
        <v>517</v>
      </c>
      <c r="C30" s="839" t="s">
        <v>767</v>
      </c>
      <c r="E30" s="483"/>
      <c r="F30" s="483"/>
      <c r="G30" s="483"/>
    </row>
    <row r="31" spans="1:7" ht="15.75">
      <c r="A31" s="832">
        <v>6</v>
      </c>
      <c r="B31" s="1058" t="s">
        <v>773</v>
      </c>
      <c r="C31" s="1059"/>
      <c r="E31" s="483"/>
      <c r="F31" s="483"/>
      <c r="G31" s="483"/>
    </row>
    <row r="32" spans="1:7" ht="31.5">
      <c r="A32" s="832" t="s">
        <v>774</v>
      </c>
      <c r="B32" s="833" t="s">
        <v>519</v>
      </c>
      <c r="C32" s="839" t="s">
        <v>767</v>
      </c>
      <c r="E32" s="483"/>
      <c r="F32" s="483"/>
      <c r="G32" s="483"/>
    </row>
    <row r="33" spans="1:7" ht="46.5" customHeight="1" thickBot="1">
      <c r="A33" s="313" t="s">
        <v>776</v>
      </c>
      <c r="B33" s="835" t="s">
        <v>777</v>
      </c>
      <c r="C33" s="840" t="s">
        <v>769</v>
      </c>
      <c r="E33" s="483"/>
      <c r="F33" s="483"/>
      <c r="G33" s="483"/>
    </row>
    <row r="36" spans="1:3" ht="15.75">
      <c r="A36" s="1060" t="str">
        <f>'11.2 (ДЭС п. Таёжный)'!A37:C37</f>
        <v>Начальник ПТО                                                                      С. А. Апекин</v>
      </c>
      <c r="B36" s="1060"/>
      <c r="C36" s="1060"/>
    </row>
    <row r="38" spans="1:3" ht="15.75">
      <c r="A38" s="427"/>
      <c r="B38" s="427"/>
      <c r="C38" s="427"/>
    </row>
    <row r="39" spans="1:3" ht="15.75">
      <c r="A39" s="427"/>
      <c r="B39" s="427"/>
      <c r="C39" s="427"/>
    </row>
    <row r="40" spans="1:3" ht="15.75">
      <c r="A40" s="427"/>
      <c r="B40" s="427"/>
      <c r="C40" s="427"/>
    </row>
    <row r="41" spans="1:3" ht="15.75">
      <c r="A41" s="427"/>
      <c r="B41" s="427"/>
      <c r="C41" s="427"/>
    </row>
    <row r="42" spans="1:3" ht="15.75">
      <c r="A42" s="427"/>
      <c r="B42" s="427"/>
      <c r="C42" s="427"/>
    </row>
    <row r="43" spans="1:3" ht="15.75">
      <c r="A43" s="427"/>
      <c r="B43" s="427"/>
      <c r="C43" s="427"/>
    </row>
    <row r="44" spans="1:3" ht="15.75">
      <c r="A44" s="427"/>
      <c r="B44" s="427"/>
      <c r="C44" s="427"/>
    </row>
    <row r="45" spans="1:3" ht="15.75">
      <c r="A45" s="427"/>
      <c r="B45" s="427"/>
      <c r="C45" s="427"/>
    </row>
    <row r="46" spans="1:3" ht="15.75">
      <c r="A46" s="427"/>
      <c r="B46" s="427"/>
      <c r="C46" s="427"/>
    </row>
    <row r="47" spans="1:3" ht="15.75">
      <c r="A47" s="427"/>
      <c r="B47" s="427"/>
      <c r="C47" s="427"/>
    </row>
    <row r="48" spans="1:3" ht="15.75">
      <c r="A48" s="427"/>
      <c r="B48" s="427"/>
      <c r="C48" s="427"/>
    </row>
    <row r="49" spans="1:3" ht="15.75">
      <c r="A49" s="427"/>
      <c r="B49" s="427"/>
      <c r="C49" s="427"/>
    </row>
    <row r="50" spans="1:3" ht="15.75">
      <c r="A50" s="427"/>
      <c r="B50" s="427"/>
      <c r="C50" s="427"/>
    </row>
    <row r="51" spans="1:3" ht="15.75">
      <c r="A51" s="427"/>
      <c r="B51" s="427"/>
      <c r="C51" s="427"/>
    </row>
    <row r="52" spans="1:3" ht="15.75">
      <c r="A52" s="427"/>
      <c r="B52" s="427"/>
      <c r="C52" s="427"/>
    </row>
    <row r="53" spans="1:3" ht="15.75">
      <c r="A53" s="427"/>
      <c r="B53" s="427"/>
      <c r="C53" s="427"/>
    </row>
    <row r="54" spans="1:3" ht="15.75">
      <c r="A54" s="427"/>
      <c r="B54" s="427"/>
      <c r="C54" s="427"/>
    </row>
    <row r="55" spans="1:3" ht="15.75">
      <c r="A55" s="427"/>
      <c r="B55" s="427"/>
      <c r="C55" s="427"/>
    </row>
    <row r="56" spans="1:3" ht="15.75">
      <c r="A56" s="427"/>
      <c r="B56" s="427"/>
      <c r="C56" s="427"/>
    </row>
    <row r="57" spans="1:3" ht="15.75">
      <c r="A57" s="427"/>
      <c r="B57" s="427"/>
      <c r="C57" s="427"/>
    </row>
    <row r="58" spans="1:3" ht="15.75">
      <c r="A58" s="427"/>
      <c r="B58" s="427"/>
      <c r="C58" s="427"/>
    </row>
    <row r="59" spans="1:3" ht="15.75">
      <c r="A59" s="427"/>
      <c r="B59" s="427"/>
      <c r="C59" s="427"/>
    </row>
  </sheetData>
  <sheetProtection/>
  <mergeCells count="9">
    <mergeCell ref="B29:C29"/>
    <mergeCell ref="B31:C31"/>
    <mergeCell ref="A36:C36"/>
    <mergeCell ref="A12:C12"/>
    <mergeCell ref="A13:C13"/>
    <mergeCell ref="B16:C16"/>
    <mergeCell ref="B19:C19"/>
    <mergeCell ref="B21:C21"/>
    <mergeCell ref="B25:C25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92D050"/>
  </sheetPr>
  <dimension ref="A1:P59"/>
  <sheetViews>
    <sheetView view="pageBreakPreview" zoomScale="75" zoomScaleSheetLayoutView="75" zoomScalePageLayoutView="0" workbookViewId="0" topLeftCell="A1">
      <selection activeCell="C43" sqref="C43"/>
    </sheetView>
  </sheetViews>
  <sheetFormatPr defaultColWidth="9.00390625" defaultRowHeight="15.75" outlineLevelRow="1"/>
  <cols>
    <col min="1" max="1" width="14.125" style="108" customWidth="1"/>
    <col min="2" max="2" width="57.375" style="108" customWidth="1"/>
    <col min="3" max="3" width="16.375" style="827" customWidth="1"/>
    <col min="4" max="4" width="9.00390625" style="108" customWidth="1"/>
    <col min="5" max="5" width="9.75390625" style="108" bestFit="1" customWidth="1"/>
    <col min="6" max="16384" width="9.00390625" style="108" customWidth="1"/>
  </cols>
  <sheetData>
    <row r="1" ht="15.75" outlineLevel="1">
      <c r="C1" s="822" t="s">
        <v>763</v>
      </c>
    </row>
    <row r="2" ht="15.75" outlineLevel="1">
      <c r="C2" s="822" t="s">
        <v>37</v>
      </c>
    </row>
    <row r="3" ht="15.75" outlineLevel="1">
      <c r="C3" s="823" t="s">
        <v>379</v>
      </c>
    </row>
    <row r="4" ht="15.75" outlineLevel="1">
      <c r="C4" s="824"/>
    </row>
    <row r="5" ht="15.75" outlineLevel="1">
      <c r="C5" s="824" t="s">
        <v>38</v>
      </c>
    </row>
    <row r="6" ht="15.75" outlineLevel="1">
      <c r="C6" s="824" t="s">
        <v>647</v>
      </c>
    </row>
    <row r="7" ht="15.75" outlineLevel="1">
      <c r="C7" s="824"/>
    </row>
    <row r="8" ht="15.75" outlineLevel="1">
      <c r="C8" s="824" t="s">
        <v>648</v>
      </c>
    </row>
    <row r="9" ht="15.75" outlineLevel="1">
      <c r="C9" s="109" t="s">
        <v>795</v>
      </c>
    </row>
    <row r="10" ht="15.75" outlineLevel="1">
      <c r="C10" s="824" t="s">
        <v>42</v>
      </c>
    </row>
    <row r="11" ht="15.75">
      <c r="C11" s="825"/>
    </row>
    <row r="12" spans="1:16" ht="42.75" customHeight="1">
      <c r="A12" s="1061" t="s">
        <v>792</v>
      </c>
      <c r="B12" s="1061"/>
      <c r="C12" s="1061"/>
      <c r="D12" s="826"/>
      <c r="E12" s="826"/>
      <c r="F12" s="826"/>
      <c r="G12" s="826"/>
      <c r="H12" s="826"/>
      <c r="I12" s="826"/>
      <c r="J12" s="826"/>
      <c r="K12" s="826"/>
      <c r="L12" s="826"/>
      <c r="M12" s="826"/>
      <c r="N12" s="826"/>
      <c r="O12" s="826"/>
      <c r="P12" s="826"/>
    </row>
    <row r="13" spans="1:3" ht="30.75" customHeight="1">
      <c r="A13" s="1062" t="s">
        <v>781</v>
      </c>
      <c r="B13" s="1062"/>
      <c r="C13" s="1062"/>
    </row>
    <row r="14" ht="16.5" thickBot="1"/>
    <row r="15" spans="1:3" ht="21.75" customHeight="1" thickBot="1">
      <c r="A15" s="828" t="s">
        <v>764</v>
      </c>
      <c r="B15" s="829" t="s">
        <v>529</v>
      </c>
      <c r="C15" s="830" t="s">
        <v>765</v>
      </c>
    </row>
    <row r="16" spans="1:3" ht="15.75" hidden="1">
      <c r="A16" s="831" t="s">
        <v>237</v>
      </c>
      <c r="B16" s="1063" t="s">
        <v>766</v>
      </c>
      <c r="C16" s="1064"/>
    </row>
    <row r="17" spans="1:3" ht="15.75" hidden="1">
      <c r="A17" s="832" t="s">
        <v>238</v>
      </c>
      <c r="B17" s="833" t="s">
        <v>499</v>
      </c>
      <c r="C17" s="834"/>
    </row>
    <row r="18" spans="1:3" ht="31.5" hidden="1">
      <c r="A18" s="832" t="s">
        <v>239</v>
      </c>
      <c r="B18" s="833" t="s">
        <v>526</v>
      </c>
      <c r="C18" s="834"/>
    </row>
    <row r="19" spans="1:3" ht="15.75" hidden="1">
      <c r="A19" s="832" t="s">
        <v>240</v>
      </c>
      <c r="B19" s="1065" t="s">
        <v>768</v>
      </c>
      <c r="C19" s="1066"/>
    </row>
    <row r="20" spans="1:3" ht="15.75" hidden="1">
      <c r="A20" s="832" t="s">
        <v>238</v>
      </c>
      <c r="B20" s="833" t="s">
        <v>499</v>
      </c>
      <c r="C20" s="834"/>
    </row>
    <row r="21" spans="1:3" ht="15.75" hidden="1">
      <c r="A21" s="832" t="s">
        <v>240</v>
      </c>
      <c r="B21" s="1065" t="s">
        <v>768</v>
      </c>
      <c r="C21" s="1066"/>
    </row>
    <row r="22" spans="1:3" ht="15.75" hidden="1">
      <c r="A22" s="832" t="s">
        <v>242</v>
      </c>
      <c r="B22" s="837" t="s">
        <v>501</v>
      </c>
      <c r="C22" s="834"/>
    </row>
    <row r="23" spans="1:3" ht="15.75" hidden="1">
      <c r="A23" s="832" t="s">
        <v>244</v>
      </c>
      <c r="B23" s="837" t="s">
        <v>503</v>
      </c>
      <c r="C23" s="834"/>
    </row>
    <row r="24" spans="1:3" ht="15.75" hidden="1">
      <c r="A24" s="832" t="s">
        <v>334</v>
      </c>
      <c r="B24" s="833" t="s">
        <v>505</v>
      </c>
      <c r="C24" s="834"/>
    </row>
    <row r="25" spans="1:3" ht="15.75" hidden="1">
      <c r="A25" s="832">
        <v>3</v>
      </c>
      <c r="B25" s="1058" t="s">
        <v>770</v>
      </c>
      <c r="C25" s="1059"/>
    </row>
    <row r="26" spans="1:3" ht="31.5" hidden="1">
      <c r="A26" s="832" t="s">
        <v>365</v>
      </c>
      <c r="B26" s="833" t="s">
        <v>507</v>
      </c>
      <c r="C26" s="834"/>
    </row>
    <row r="27" spans="1:3" ht="31.5" hidden="1">
      <c r="A27" s="832" t="s">
        <v>366</v>
      </c>
      <c r="B27" s="833" t="s">
        <v>509</v>
      </c>
      <c r="C27" s="834"/>
    </row>
    <row r="28" spans="1:7" ht="15.75">
      <c r="A28" s="832" t="s">
        <v>367</v>
      </c>
      <c r="B28" s="833" t="s">
        <v>636</v>
      </c>
      <c r="C28" s="834" t="s">
        <v>769</v>
      </c>
      <c r="E28" s="483"/>
      <c r="F28" s="483"/>
      <c r="G28" s="483"/>
    </row>
    <row r="29" spans="1:7" ht="15.75">
      <c r="A29" s="832">
        <v>4</v>
      </c>
      <c r="B29" s="1058" t="s">
        <v>771</v>
      </c>
      <c r="C29" s="1059"/>
      <c r="E29" s="483"/>
      <c r="F29" s="483"/>
      <c r="G29" s="483"/>
    </row>
    <row r="30" spans="1:7" ht="15" customHeight="1">
      <c r="A30" s="832" t="s">
        <v>772</v>
      </c>
      <c r="B30" s="833" t="s">
        <v>517</v>
      </c>
      <c r="C30" s="834" t="s">
        <v>767</v>
      </c>
      <c r="E30" s="483"/>
      <c r="F30" s="483"/>
      <c r="G30" s="483"/>
    </row>
    <row r="31" spans="1:7" ht="15.75">
      <c r="A31" s="832">
        <v>6</v>
      </c>
      <c r="B31" s="1058" t="s">
        <v>773</v>
      </c>
      <c r="C31" s="1059"/>
      <c r="E31" s="483"/>
      <c r="F31" s="483"/>
      <c r="G31" s="483"/>
    </row>
    <row r="32" spans="1:7" ht="31.5">
      <c r="A32" s="832" t="s">
        <v>774</v>
      </c>
      <c r="B32" s="833" t="s">
        <v>519</v>
      </c>
      <c r="C32" s="834" t="s">
        <v>767</v>
      </c>
      <c r="E32" s="483"/>
      <c r="F32" s="483"/>
      <c r="G32" s="483"/>
    </row>
    <row r="33" spans="1:7" ht="46.5" customHeight="1" thickBot="1">
      <c r="A33" s="313" t="s">
        <v>776</v>
      </c>
      <c r="B33" s="835" t="s">
        <v>777</v>
      </c>
      <c r="C33" s="836" t="s">
        <v>769</v>
      </c>
      <c r="E33" s="483"/>
      <c r="F33" s="483"/>
      <c r="G33" s="483"/>
    </row>
    <row r="36" spans="1:3" ht="15.75">
      <c r="A36" s="1060" t="str">
        <f>'11.2 (ТП-2 Хаилино)'!A36:C36</f>
        <v>Начальник ПТО                                                                      С. А. Апекин</v>
      </c>
      <c r="B36" s="1060"/>
      <c r="C36" s="1060"/>
    </row>
    <row r="38" spans="1:3" ht="15.75">
      <c r="A38" s="427"/>
      <c r="B38" s="427"/>
      <c r="C38" s="427"/>
    </row>
    <row r="39" spans="1:3" ht="15.75">
      <c r="A39" s="427"/>
      <c r="B39" s="427"/>
      <c r="C39" s="427"/>
    </row>
    <row r="40" spans="1:3" ht="15.75">
      <c r="A40" s="427"/>
      <c r="B40" s="427"/>
      <c r="C40" s="427"/>
    </row>
    <row r="41" spans="1:3" ht="15.75">
      <c r="A41" s="427"/>
      <c r="B41" s="427"/>
      <c r="C41" s="427"/>
    </row>
    <row r="42" spans="1:3" ht="15.75">
      <c r="A42" s="427"/>
      <c r="B42" s="427"/>
      <c r="C42" s="427"/>
    </row>
    <row r="43" spans="1:3" ht="15.75">
      <c r="A43" s="427"/>
      <c r="B43" s="427"/>
      <c r="C43" s="427"/>
    </row>
    <row r="44" spans="1:3" ht="15.75">
      <c r="A44" s="427"/>
      <c r="B44" s="427"/>
      <c r="C44" s="427"/>
    </row>
    <row r="45" spans="1:3" ht="15.75">
      <c r="A45" s="427"/>
      <c r="B45" s="427"/>
      <c r="C45" s="427"/>
    </row>
    <row r="46" spans="1:3" ht="15.75">
      <c r="A46" s="427"/>
      <c r="B46" s="427"/>
      <c r="C46" s="427"/>
    </row>
    <row r="47" spans="1:3" ht="15.75">
      <c r="A47" s="427"/>
      <c r="B47" s="427"/>
      <c r="C47" s="427"/>
    </row>
    <row r="48" spans="1:3" ht="15.75">
      <c r="A48" s="427"/>
      <c r="B48" s="427"/>
      <c r="C48" s="427"/>
    </row>
    <row r="49" spans="1:3" ht="15.75">
      <c r="A49" s="427"/>
      <c r="B49" s="427"/>
      <c r="C49" s="427"/>
    </row>
    <row r="50" spans="1:3" ht="15.75">
      <c r="A50" s="427"/>
      <c r="B50" s="427"/>
      <c r="C50" s="427"/>
    </row>
    <row r="51" spans="1:3" ht="15.75">
      <c r="A51" s="427"/>
      <c r="B51" s="427"/>
      <c r="C51" s="427"/>
    </row>
    <row r="52" spans="1:3" ht="15.75">
      <c r="A52" s="427"/>
      <c r="B52" s="427"/>
      <c r="C52" s="427"/>
    </row>
    <row r="53" spans="1:3" ht="15.75">
      <c r="A53" s="427"/>
      <c r="B53" s="427"/>
      <c r="C53" s="427"/>
    </row>
    <row r="54" spans="1:3" ht="15.75">
      <c r="A54" s="427"/>
      <c r="B54" s="427"/>
      <c r="C54" s="427"/>
    </row>
    <row r="55" spans="1:3" ht="15.75">
      <c r="A55" s="427"/>
      <c r="B55" s="427"/>
      <c r="C55" s="427"/>
    </row>
    <row r="56" spans="1:3" ht="15.75">
      <c r="A56" s="427"/>
      <c r="B56" s="427"/>
      <c r="C56" s="427"/>
    </row>
    <row r="57" spans="1:3" ht="15.75">
      <c r="A57" s="427"/>
      <c r="B57" s="427"/>
      <c r="C57" s="427"/>
    </row>
    <row r="58" spans="1:3" ht="15.75">
      <c r="A58" s="427"/>
      <c r="B58" s="427"/>
      <c r="C58" s="427"/>
    </row>
    <row r="59" spans="1:3" ht="15.75">
      <c r="A59" s="427"/>
      <c r="B59" s="427"/>
      <c r="C59" s="427"/>
    </row>
  </sheetData>
  <sheetProtection/>
  <mergeCells count="9">
    <mergeCell ref="B29:C29"/>
    <mergeCell ref="B31:C31"/>
    <mergeCell ref="A36:C36"/>
    <mergeCell ref="A12:C12"/>
    <mergeCell ref="A13:C13"/>
    <mergeCell ref="B16:C16"/>
    <mergeCell ref="B19:C19"/>
    <mergeCell ref="B21:C21"/>
    <mergeCell ref="B25:C25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65"/>
  <sheetViews>
    <sheetView view="pageBreakPreview" zoomScale="75" zoomScaleSheetLayoutView="75" zoomScalePageLayoutView="0" workbookViewId="0" topLeftCell="A33">
      <selection activeCell="B69" sqref="B69"/>
    </sheetView>
  </sheetViews>
  <sheetFormatPr defaultColWidth="9.00390625" defaultRowHeight="15.75" outlineLevelRow="1"/>
  <cols>
    <col min="1" max="1" width="14.125" style="108" customWidth="1"/>
    <col min="2" max="2" width="57.375" style="108" customWidth="1"/>
    <col min="3" max="3" width="16.375" style="827" customWidth="1"/>
    <col min="4" max="4" width="9.00390625" style="108" customWidth="1"/>
    <col min="5" max="5" width="9.75390625" style="108" bestFit="1" customWidth="1"/>
    <col min="6" max="16384" width="9.00390625" style="108" customWidth="1"/>
  </cols>
  <sheetData>
    <row r="1" ht="15.75">
      <c r="C1" s="822" t="s">
        <v>763</v>
      </c>
    </row>
    <row r="2" ht="15.75">
      <c r="C2" s="822" t="s">
        <v>37</v>
      </c>
    </row>
    <row r="3" ht="15.75">
      <c r="C3" s="823" t="s">
        <v>379</v>
      </c>
    </row>
    <row r="4" ht="15.75" outlineLevel="1">
      <c r="C4" s="824"/>
    </row>
    <row r="5" ht="15.75" outlineLevel="1">
      <c r="C5" s="824" t="s">
        <v>38</v>
      </c>
    </row>
    <row r="6" ht="15.75" outlineLevel="1">
      <c r="C6" s="824" t="s">
        <v>647</v>
      </c>
    </row>
    <row r="7" ht="15.75" outlineLevel="1">
      <c r="C7" s="824"/>
    </row>
    <row r="8" ht="15.75" outlineLevel="1">
      <c r="C8" s="824" t="s">
        <v>648</v>
      </c>
    </row>
    <row r="9" ht="15.75" outlineLevel="1">
      <c r="C9" s="109" t="s">
        <v>795</v>
      </c>
    </row>
    <row r="10" ht="15.75" outlineLevel="1">
      <c r="C10" s="824" t="s">
        <v>42</v>
      </c>
    </row>
    <row r="11" ht="15.75">
      <c r="C11" s="825"/>
    </row>
    <row r="12" spans="1:16" ht="42.75" customHeight="1">
      <c r="A12" s="1061" t="s">
        <v>792</v>
      </c>
      <c r="B12" s="1061"/>
      <c r="C12" s="1061"/>
      <c r="D12" s="826"/>
      <c r="E12" s="826"/>
      <c r="F12" s="826"/>
      <c r="G12" s="826"/>
      <c r="H12" s="826"/>
      <c r="I12" s="826"/>
      <c r="J12" s="826"/>
      <c r="K12" s="826"/>
      <c r="L12" s="826"/>
      <c r="M12" s="826"/>
      <c r="N12" s="826"/>
      <c r="O12" s="826"/>
      <c r="P12" s="826"/>
    </row>
    <row r="13" spans="1:3" ht="30" customHeight="1">
      <c r="A13" s="1062" t="s">
        <v>657</v>
      </c>
      <c r="B13" s="1062"/>
      <c r="C13" s="1062"/>
    </row>
    <row r="14" ht="16.5" thickBot="1"/>
    <row r="15" spans="1:3" ht="21.75" customHeight="1" thickBot="1">
      <c r="A15" s="828" t="s">
        <v>764</v>
      </c>
      <c r="B15" s="829" t="s">
        <v>529</v>
      </c>
      <c r="C15" s="830" t="s">
        <v>765</v>
      </c>
    </row>
    <row r="16" spans="1:7" ht="15.75">
      <c r="A16" s="831" t="s">
        <v>237</v>
      </c>
      <c r="B16" s="1063" t="s">
        <v>766</v>
      </c>
      <c r="C16" s="1064"/>
      <c r="E16" s="483"/>
      <c r="F16" s="483"/>
      <c r="G16" s="483"/>
    </row>
    <row r="17" spans="1:7" ht="15.75">
      <c r="A17" s="832" t="s">
        <v>238</v>
      </c>
      <c r="B17" s="833" t="s">
        <v>499</v>
      </c>
      <c r="C17" s="834" t="s">
        <v>769</v>
      </c>
      <c r="E17" s="483"/>
      <c r="F17" s="483"/>
      <c r="G17" s="483"/>
    </row>
    <row r="18" spans="1:7" ht="31.5">
      <c r="A18" s="832" t="s">
        <v>239</v>
      </c>
      <c r="B18" s="833" t="s">
        <v>526</v>
      </c>
      <c r="C18" s="834" t="s">
        <v>767</v>
      </c>
      <c r="E18" s="483"/>
      <c r="F18" s="483"/>
      <c r="G18" s="483"/>
    </row>
    <row r="19" spans="1:7" ht="15.75">
      <c r="A19" s="832" t="s">
        <v>240</v>
      </c>
      <c r="B19" s="1065" t="s">
        <v>768</v>
      </c>
      <c r="C19" s="1066"/>
      <c r="E19" s="483"/>
      <c r="F19" s="483"/>
      <c r="G19" s="483"/>
    </row>
    <row r="20" spans="1:7" ht="15.75">
      <c r="A20" s="832" t="s">
        <v>238</v>
      </c>
      <c r="B20" s="833" t="s">
        <v>499</v>
      </c>
      <c r="C20" s="834" t="s">
        <v>769</v>
      </c>
      <c r="E20" s="483"/>
      <c r="F20" s="483"/>
      <c r="G20" s="483"/>
    </row>
    <row r="21" spans="1:7" ht="15.75">
      <c r="A21" s="832" t="s">
        <v>240</v>
      </c>
      <c r="B21" s="1065" t="s">
        <v>768</v>
      </c>
      <c r="C21" s="1066"/>
      <c r="E21" s="483"/>
      <c r="F21" s="483"/>
      <c r="G21" s="483"/>
    </row>
    <row r="22" spans="1:7" ht="15.75">
      <c r="A22" s="832" t="s">
        <v>242</v>
      </c>
      <c r="B22" s="837" t="s">
        <v>501</v>
      </c>
      <c r="C22" s="834" t="s">
        <v>767</v>
      </c>
      <c r="E22" s="483"/>
      <c r="F22" s="483"/>
      <c r="G22" s="483"/>
    </row>
    <row r="23" spans="1:7" ht="15.75">
      <c r="A23" s="832" t="s">
        <v>244</v>
      </c>
      <c r="B23" s="837" t="s">
        <v>503</v>
      </c>
      <c r="C23" s="834" t="s">
        <v>767</v>
      </c>
      <c r="E23" s="483"/>
      <c r="F23" s="483"/>
      <c r="G23" s="483"/>
    </row>
    <row r="24" spans="1:7" ht="15.75">
      <c r="A24" s="832" t="s">
        <v>334</v>
      </c>
      <c r="B24" s="833" t="s">
        <v>505</v>
      </c>
      <c r="C24" s="834" t="s">
        <v>769</v>
      </c>
      <c r="E24" s="483"/>
      <c r="F24" s="483"/>
      <c r="G24" s="483"/>
    </row>
    <row r="25" spans="1:7" ht="15.75">
      <c r="A25" s="832">
        <v>3</v>
      </c>
      <c r="B25" s="1058" t="s">
        <v>770</v>
      </c>
      <c r="C25" s="1059"/>
      <c r="E25" s="483"/>
      <c r="F25" s="483"/>
      <c r="G25" s="483"/>
    </row>
    <row r="26" spans="1:7" ht="31.5">
      <c r="A26" s="832" t="s">
        <v>365</v>
      </c>
      <c r="B26" s="833" t="s">
        <v>507</v>
      </c>
      <c r="C26" s="834" t="s">
        <v>769</v>
      </c>
      <c r="E26" s="483"/>
      <c r="F26" s="483"/>
      <c r="G26" s="483"/>
    </row>
    <row r="27" spans="1:7" ht="31.5">
      <c r="A27" s="832" t="s">
        <v>366</v>
      </c>
      <c r="B27" s="833" t="s">
        <v>509</v>
      </c>
      <c r="C27" s="834" t="s">
        <v>769</v>
      </c>
      <c r="E27" s="483"/>
      <c r="F27" s="483"/>
      <c r="G27" s="483"/>
    </row>
    <row r="28" spans="1:7" ht="15.75">
      <c r="A28" s="832" t="s">
        <v>367</v>
      </c>
      <c r="B28" s="833" t="s">
        <v>511</v>
      </c>
      <c r="C28" s="834" t="s">
        <v>769</v>
      </c>
      <c r="E28" s="483"/>
      <c r="F28" s="483"/>
      <c r="G28" s="483"/>
    </row>
    <row r="29" spans="1:7" ht="15.75">
      <c r="A29" s="832">
        <v>4</v>
      </c>
      <c r="B29" s="1058" t="s">
        <v>771</v>
      </c>
      <c r="C29" s="1059"/>
      <c r="E29" s="483"/>
      <c r="F29" s="483"/>
      <c r="G29" s="483"/>
    </row>
    <row r="30" spans="1:7" ht="15.75">
      <c r="A30" s="832" t="s">
        <v>245</v>
      </c>
      <c r="B30" s="833" t="s">
        <v>513</v>
      </c>
      <c r="C30" s="834" t="s">
        <v>767</v>
      </c>
      <c r="E30" s="483"/>
      <c r="F30" s="483"/>
      <c r="G30" s="483"/>
    </row>
    <row r="31" spans="1:7" ht="15" customHeight="1">
      <c r="A31" s="832" t="s">
        <v>305</v>
      </c>
      <c r="B31" s="833" t="s">
        <v>515</v>
      </c>
      <c r="C31" s="834"/>
      <c r="E31" s="483"/>
      <c r="F31" s="483"/>
      <c r="G31" s="483"/>
    </row>
    <row r="32" spans="1:7" ht="15" customHeight="1">
      <c r="A32" s="832" t="s">
        <v>772</v>
      </c>
      <c r="B32" s="833" t="s">
        <v>517</v>
      </c>
      <c r="C32" s="834"/>
      <c r="E32" s="483"/>
      <c r="F32" s="483"/>
      <c r="G32" s="483"/>
    </row>
    <row r="33" spans="1:7" ht="15.75">
      <c r="A33" s="832">
        <v>6</v>
      </c>
      <c r="B33" s="1058" t="s">
        <v>773</v>
      </c>
      <c r="C33" s="1059"/>
      <c r="E33" s="483"/>
      <c r="F33" s="483"/>
      <c r="G33" s="483"/>
    </row>
    <row r="34" spans="1:7" ht="31.5">
      <c r="A34" s="832" t="s">
        <v>774</v>
      </c>
      <c r="B34" s="833" t="s">
        <v>519</v>
      </c>
      <c r="C34" s="834"/>
      <c r="E34" s="483"/>
      <c r="F34" s="483"/>
      <c r="G34" s="483"/>
    </row>
    <row r="35" spans="1:7" ht="15.75">
      <c r="A35" s="832" t="s">
        <v>775</v>
      </c>
      <c r="B35" s="833" t="s">
        <v>521</v>
      </c>
      <c r="C35" s="834"/>
      <c r="E35" s="483"/>
      <c r="F35" s="483"/>
      <c r="G35" s="483"/>
    </row>
    <row r="36" spans="1:7" ht="46.5" customHeight="1" thickBot="1">
      <c r="A36" s="313" t="s">
        <v>776</v>
      </c>
      <c r="B36" s="835" t="s">
        <v>777</v>
      </c>
      <c r="C36" s="836"/>
      <c r="E36" s="483"/>
      <c r="F36" s="483"/>
      <c r="G36" s="483"/>
    </row>
    <row r="39" spans="1:3" ht="15.75">
      <c r="A39" s="1060" t="str">
        <f>'11.2 (Склад ГСМ с.Тиличики)'!A39:C39</f>
        <v>Начальник ПТО                                                                      С. А. Апекин</v>
      </c>
      <c r="B39" s="1060"/>
      <c r="C39" s="1060"/>
    </row>
    <row r="42" spans="1:3" ht="15.75">
      <c r="A42" s="427"/>
      <c r="B42" s="427"/>
      <c r="C42" s="427"/>
    </row>
    <row r="43" spans="1:3" ht="15.75">
      <c r="A43" s="427"/>
      <c r="B43" s="427"/>
      <c r="C43" s="427"/>
    </row>
    <row r="44" spans="1:3" ht="15.75">
      <c r="A44" s="427"/>
      <c r="B44" s="427"/>
      <c r="C44" s="427"/>
    </row>
    <row r="45" spans="1:3" ht="15.75">
      <c r="A45" s="427"/>
      <c r="B45" s="427"/>
      <c r="C45" s="427"/>
    </row>
    <row r="46" spans="1:3" ht="15.75">
      <c r="A46" s="427"/>
      <c r="B46" s="427"/>
      <c r="C46" s="427"/>
    </row>
    <row r="47" spans="1:3" ht="15.75">
      <c r="A47" s="427"/>
      <c r="B47" s="427"/>
      <c r="C47" s="427"/>
    </row>
    <row r="48" spans="1:3" ht="15.75">
      <c r="A48" s="427"/>
      <c r="B48" s="427"/>
      <c r="C48" s="427"/>
    </row>
    <row r="49" spans="1:3" ht="15.75">
      <c r="A49" s="427"/>
      <c r="B49" s="427"/>
      <c r="C49" s="427"/>
    </row>
    <row r="50" spans="1:3" ht="15.75">
      <c r="A50" s="427"/>
      <c r="B50" s="427"/>
      <c r="C50" s="427"/>
    </row>
    <row r="51" spans="1:3" ht="15.75">
      <c r="A51" s="427"/>
      <c r="B51" s="427"/>
      <c r="C51" s="427"/>
    </row>
    <row r="52" spans="1:3" ht="15.75">
      <c r="A52" s="427"/>
      <c r="B52" s="427"/>
      <c r="C52" s="427"/>
    </row>
    <row r="53" spans="1:3" ht="15.75">
      <c r="A53" s="427"/>
      <c r="B53" s="427"/>
      <c r="C53" s="427"/>
    </row>
    <row r="54" spans="1:3" ht="15.75">
      <c r="A54" s="427"/>
      <c r="B54" s="427"/>
      <c r="C54" s="427"/>
    </row>
    <row r="55" spans="1:3" ht="15.75">
      <c r="A55" s="427"/>
      <c r="B55" s="427"/>
      <c r="C55" s="427"/>
    </row>
    <row r="56" spans="1:3" ht="15.75">
      <c r="A56" s="427"/>
      <c r="B56" s="427"/>
      <c r="C56" s="427"/>
    </row>
    <row r="57" spans="1:3" ht="15.75">
      <c r="A57" s="427"/>
      <c r="B57" s="427"/>
      <c r="C57" s="427"/>
    </row>
    <row r="58" spans="1:3" ht="15.75">
      <c r="A58" s="427"/>
      <c r="B58" s="427"/>
      <c r="C58" s="427"/>
    </row>
    <row r="59" spans="1:3" ht="15.75">
      <c r="A59" s="427"/>
      <c r="B59" s="427"/>
      <c r="C59" s="427"/>
    </row>
    <row r="60" spans="1:3" ht="15.75">
      <c r="A60" s="427"/>
      <c r="B60" s="427"/>
      <c r="C60" s="427"/>
    </row>
    <row r="61" spans="1:3" ht="15.75">
      <c r="A61" s="427"/>
      <c r="B61" s="427"/>
      <c r="C61" s="427"/>
    </row>
    <row r="62" spans="1:3" ht="15.75">
      <c r="A62" s="427"/>
      <c r="B62" s="427"/>
      <c r="C62" s="427"/>
    </row>
    <row r="63" spans="1:3" ht="15.75">
      <c r="A63" s="427"/>
      <c r="B63" s="427"/>
      <c r="C63" s="427"/>
    </row>
    <row r="64" spans="1:3" ht="15.75">
      <c r="A64" s="427"/>
      <c r="B64" s="427"/>
      <c r="C64" s="427"/>
    </row>
    <row r="65" spans="1:3" ht="15.75">
      <c r="A65" s="427"/>
      <c r="B65" s="427"/>
      <c r="C65" s="427"/>
    </row>
  </sheetData>
  <sheetProtection/>
  <mergeCells count="9">
    <mergeCell ref="B29:C29"/>
    <mergeCell ref="B33:C33"/>
    <mergeCell ref="A39:C39"/>
    <mergeCell ref="A12:C12"/>
    <mergeCell ref="A13:C13"/>
    <mergeCell ref="B16:C16"/>
    <mergeCell ref="B19:C19"/>
    <mergeCell ref="B21:C21"/>
    <mergeCell ref="B25:C25"/>
  </mergeCells>
  <printOptions/>
  <pageMargins left="0.7" right="0.2" top="0.35" bottom="0.36" header="0.3" footer="0.3"/>
  <pageSetup fitToHeight="2" fitToWidth="1"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77"/>
  <sheetViews>
    <sheetView view="pageBreakPreview" zoomScale="75" zoomScaleSheetLayoutView="75" zoomScalePageLayoutView="0" workbookViewId="0" topLeftCell="A35">
      <selection activeCell="B69" sqref="B69"/>
    </sheetView>
  </sheetViews>
  <sheetFormatPr defaultColWidth="9.00390625" defaultRowHeight="15.75" outlineLevelRow="1"/>
  <cols>
    <col min="1" max="1" width="14.125" style="108" customWidth="1"/>
    <col min="2" max="2" width="57.375" style="108" customWidth="1"/>
    <col min="3" max="3" width="16.375" style="827" customWidth="1"/>
    <col min="4" max="4" width="9.00390625" style="108" customWidth="1"/>
    <col min="5" max="5" width="9.75390625" style="108" bestFit="1" customWidth="1"/>
    <col min="6" max="16384" width="9.00390625" style="108" customWidth="1"/>
  </cols>
  <sheetData>
    <row r="1" ht="15.75" outlineLevel="1">
      <c r="C1" s="822" t="s">
        <v>763</v>
      </c>
    </row>
    <row r="2" ht="15.75" outlineLevel="1">
      <c r="C2" s="822" t="s">
        <v>37</v>
      </c>
    </row>
    <row r="3" ht="15.75" outlineLevel="1">
      <c r="C3" s="823" t="s">
        <v>379</v>
      </c>
    </row>
    <row r="4" ht="15.75" outlineLevel="1">
      <c r="C4" s="824"/>
    </row>
    <row r="5" ht="15.75" outlineLevel="1">
      <c r="C5" s="824" t="s">
        <v>38</v>
      </c>
    </row>
    <row r="6" ht="15.75" outlineLevel="1">
      <c r="C6" s="824" t="s">
        <v>647</v>
      </c>
    </row>
    <row r="7" ht="15.75" outlineLevel="1">
      <c r="C7" s="824"/>
    </row>
    <row r="8" ht="15.75" outlineLevel="1">
      <c r="C8" s="824" t="s">
        <v>648</v>
      </c>
    </row>
    <row r="9" ht="15.75" outlineLevel="1">
      <c r="C9" s="109" t="s">
        <v>795</v>
      </c>
    </row>
    <row r="10" ht="15.75" outlineLevel="1">
      <c r="C10" s="824" t="s">
        <v>42</v>
      </c>
    </row>
    <row r="11" ht="15.75">
      <c r="C11" s="825"/>
    </row>
    <row r="12" spans="1:16" ht="42.75" customHeight="1">
      <c r="A12" s="1061" t="s">
        <v>792</v>
      </c>
      <c r="B12" s="1061"/>
      <c r="C12" s="1061"/>
      <c r="D12" s="826"/>
      <c r="E12" s="826"/>
      <c r="F12" s="826"/>
      <c r="G12" s="826"/>
      <c r="H12" s="826"/>
      <c r="I12" s="826"/>
      <c r="J12" s="826"/>
      <c r="K12" s="826"/>
      <c r="L12" s="826"/>
      <c r="M12" s="826"/>
      <c r="N12" s="826"/>
      <c r="O12" s="826"/>
      <c r="P12" s="826"/>
    </row>
    <row r="13" spans="1:3" ht="31.5" customHeight="1">
      <c r="A13" s="1062" t="s">
        <v>656</v>
      </c>
      <c r="B13" s="1062"/>
      <c r="C13" s="1062"/>
    </row>
    <row r="14" ht="16.5" thickBot="1"/>
    <row r="15" spans="1:3" ht="21.75" customHeight="1" thickBot="1">
      <c r="A15" s="828" t="s">
        <v>764</v>
      </c>
      <c r="B15" s="829" t="s">
        <v>529</v>
      </c>
      <c r="C15" s="830" t="s">
        <v>765</v>
      </c>
    </row>
    <row r="16" spans="1:7" ht="15.75">
      <c r="A16" s="831" t="s">
        <v>237</v>
      </c>
      <c r="B16" s="1063" t="s">
        <v>766</v>
      </c>
      <c r="C16" s="1064"/>
      <c r="E16" s="483"/>
      <c r="F16" s="483"/>
      <c r="G16" s="483"/>
    </row>
    <row r="17" spans="1:7" ht="15.75">
      <c r="A17" s="832" t="s">
        <v>238</v>
      </c>
      <c r="B17" s="833" t="s">
        <v>499</v>
      </c>
      <c r="C17" s="834" t="s">
        <v>778</v>
      </c>
      <c r="E17" s="483"/>
      <c r="F17" s="483"/>
      <c r="G17" s="483"/>
    </row>
    <row r="18" spans="1:7" ht="31.5">
      <c r="A18" s="832" t="s">
        <v>239</v>
      </c>
      <c r="B18" s="833" t="s">
        <v>526</v>
      </c>
      <c r="C18" s="834" t="s">
        <v>767</v>
      </c>
      <c r="E18" s="483"/>
      <c r="F18" s="483"/>
      <c r="G18" s="483"/>
    </row>
    <row r="19" spans="1:7" ht="15.75">
      <c r="A19" s="832" t="s">
        <v>240</v>
      </c>
      <c r="B19" s="1065" t="s">
        <v>768</v>
      </c>
      <c r="C19" s="1066"/>
      <c r="E19" s="483"/>
      <c r="F19" s="483"/>
      <c r="G19" s="483"/>
    </row>
    <row r="20" spans="1:7" ht="15.75">
      <c r="A20" s="832" t="s">
        <v>238</v>
      </c>
      <c r="B20" s="833" t="s">
        <v>499</v>
      </c>
      <c r="C20" s="834" t="s">
        <v>778</v>
      </c>
      <c r="E20" s="483"/>
      <c r="F20" s="483"/>
      <c r="G20" s="483"/>
    </row>
    <row r="21" spans="1:7" ht="15.75">
      <c r="A21" s="832" t="s">
        <v>240</v>
      </c>
      <c r="B21" s="1065" t="s">
        <v>768</v>
      </c>
      <c r="C21" s="1066"/>
      <c r="E21" s="483"/>
      <c r="F21" s="483"/>
      <c r="G21" s="483"/>
    </row>
    <row r="22" spans="1:7" ht="15.75">
      <c r="A22" s="832" t="s">
        <v>242</v>
      </c>
      <c r="B22" s="837" t="s">
        <v>501</v>
      </c>
      <c r="C22" s="834" t="s">
        <v>767</v>
      </c>
      <c r="E22" s="483"/>
      <c r="F22" s="483"/>
      <c r="G22" s="483"/>
    </row>
    <row r="23" spans="1:7" ht="15.75">
      <c r="A23" s="832" t="s">
        <v>244</v>
      </c>
      <c r="B23" s="837" t="s">
        <v>503</v>
      </c>
      <c r="C23" s="834" t="s">
        <v>767</v>
      </c>
      <c r="E23" s="483"/>
      <c r="F23" s="483"/>
      <c r="G23" s="483"/>
    </row>
    <row r="24" spans="1:7" ht="15.75">
      <c r="A24" s="832" t="s">
        <v>334</v>
      </c>
      <c r="B24" s="833" t="s">
        <v>505</v>
      </c>
      <c r="C24" s="834"/>
      <c r="E24" s="483"/>
      <c r="F24" s="483"/>
      <c r="G24" s="483"/>
    </row>
    <row r="25" spans="1:7" ht="15.75">
      <c r="A25" s="832">
        <v>3</v>
      </c>
      <c r="B25" s="1058" t="s">
        <v>770</v>
      </c>
      <c r="C25" s="1059"/>
      <c r="E25" s="483"/>
      <c r="F25" s="483"/>
      <c r="G25" s="483"/>
    </row>
    <row r="26" spans="1:7" ht="31.5">
      <c r="A26" s="832" t="s">
        <v>365</v>
      </c>
      <c r="B26" s="833" t="s">
        <v>507</v>
      </c>
      <c r="C26" s="834"/>
      <c r="E26" s="483"/>
      <c r="F26" s="483"/>
      <c r="G26" s="483"/>
    </row>
    <row r="27" spans="1:7" ht="31.5">
      <c r="A27" s="832" t="s">
        <v>366</v>
      </c>
      <c r="B27" s="833" t="s">
        <v>509</v>
      </c>
      <c r="C27" s="838"/>
      <c r="E27" s="483"/>
      <c r="F27" s="483"/>
      <c r="G27" s="483"/>
    </row>
    <row r="28" spans="1:7" ht="15.75">
      <c r="A28" s="832" t="s">
        <v>367</v>
      </c>
      <c r="B28" s="833" t="s">
        <v>511</v>
      </c>
      <c r="C28" s="834"/>
      <c r="E28" s="483"/>
      <c r="F28" s="483"/>
      <c r="G28" s="483"/>
    </row>
    <row r="29" spans="1:7" ht="15.75">
      <c r="A29" s="832">
        <v>4</v>
      </c>
      <c r="B29" s="1058" t="s">
        <v>771</v>
      </c>
      <c r="C29" s="1059"/>
      <c r="E29" s="483"/>
      <c r="F29" s="483"/>
      <c r="G29" s="483"/>
    </row>
    <row r="30" spans="1:7" ht="15.75">
      <c r="A30" s="832" t="s">
        <v>245</v>
      </c>
      <c r="B30" s="833" t="s">
        <v>513</v>
      </c>
      <c r="C30" s="834"/>
      <c r="E30" s="483"/>
      <c r="F30" s="483"/>
      <c r="G30" s="483"/>
    </row>
    <row r="31" spans="1:7" ht="15" customHeight="1">
      <c r="A31" s="832" t="s">
        <v>305</v>
      </c>
      <c r="B31" s="833" t="s">
        <v>515</v>
      </c>
      <c r="C31" s="834"/>
      <c r="E31" s="483"/>
      <c r="F31" s="483"/>
      <c r="G31" s="483"/>
    </row>
    <row r="32" spans="1:7" ht="15" customHeight="1">
      <c r="A32" s="832" t="s">
        <v>772</v>
      </c>
      <c r="B32" s="833" t="s">
        <v>517</v>
      </c>
      <c r="C32" s="834"/>
      <c r="E32" s="483"/>
      <c r="F32" s="483"/>
      <c r="G32" s="483"/>
    </row>
    <row r="33" spans="1:7" ht="15.75">
      <c r="A33" s="832">
        <v>6</v>
      </c>
      <c r="B33" s="1058" t="s">
        <v>773</v>
      </c>
      <c r="C33" s="1059"/>
      <c r="E33" s="483"/>
      <c r="F33" s="483"/>
      <c r="G33" s="483"/>
    </row>
    <row r="34" spans="1:7" ht="31.5">
      <c r="A34" s="832" t="s">
        <v>774</v>
      </c>
      <c r="B34" s="833" t="s">
        <v>519</v>
      </c>
      <c r="C34" s="834"/>
      <c r="E34" s="483"/>
      <c r="F34" s="483"/>
      <c r="G34" s="483"/>
    </row>
    <row r="35" spans="1:7" ht="15.75">
      <c r="A35" s="832" t="s">
        <v>775</v>
      </c>
      <c r="B35" s="833" t="s">
        <v>521</v>
      </c>
      <c r="C35" s="834"/>
      <c r="E35" s="483"/>
      <c r="F35" s="483"/>
      <c r="G35" s="483"/>
    </row>
    <row r="36" spans="1:7" ht="46.5" customHeight="1" thickBot="1">
      <c r="A36" s="313" t="s">
        <v>776</v>
      </c>
      <c r="B36" s="835" t="s">
        <v>777</v>
      </c>
      <c r="C36" s="836"/>
      <c r="E36" s="483"/>
      <c r="F36" s="483"/>
      <c r="G36" s="483"/>
    </row>
    <row r="39" spans="1:3" ht="15.75">
      <c r="A39" s="1060" t="s">
        <v>779</v>
      </c>
      <c r="B39" s="1060"/>
      <c r="C39" s="1060"/>
    </row>
    <row r="42" spans="1:3" ht="15.75">
      <c r="A42" s="427"/>
      <c r="B42" s="427"/>
      <c r="C42" s="427"/>
    </row>
    <row r="43" spans="1:3" ht="15.75">
      <c r="A43" s="427"/>
      <c r="B43" s="427"/>
      <c r="C43" s="427"/>
    </row>
    <row r="44" spans="1:3" ht="15.75">
      <c r="A44" s="427"/>
      <c r="B44" s="427"/>
      <c r="C44" s="427"/>
    </row>
    <row r="45" spans="1:3" ht="15.75">
      <c r="A45" s="427"/>
      <c r="B45" s="427"/>
      <c r="C45" s="427"/>
    </row>
    <row r="46" spans="1:3" ht="15.75">
      <c r="A46" s="427"/>
      <c r="B46" s="427"/>
      <c r="C46" s="427"/>
    </row>
    <row r="47" spans="1:3" ht="15.75">
      <c r="A47" s="427"/>
      <c r="B47" s="427"/>
      <c r="C47" s="427"/>
    </row>
    <row r="48" spans="1:3" ht="15.75">
      <c r="A48" s="427"/>
      <c r="B48" s="427"/>
      <c r="C48" s="427"/>
    </row>
    <row r="49" spans="1:3" ht="15.75">
      <c r="A49" s="427"/>
      <c r="B49" s="427"/>
      <c r="C49" s="427"/>
    </row>
    <row r="50" spans="1:3" ht="15.75">
      <c r="A50" s="427"/>
      <c r="B50" s="427"/>
      <c r="C50" s="427"/>
    </row>
    <row r="51" spans="1:3" ht="15.75">
      <c r="A51" s="427"/>
      <c r="B51" s="427"/>
      <c r="C51" s="427"/>
    </row>
    <row r="52" spans="1:3" ht="15.75">
      <c r="A52" s="427"/>
      <c r="B52" s="427"/>
      <c r="C52" s="427"/>
    </row>
    <row r="53" spans="1:3" ht="15.75">
      <c r="A53" s="427"/>
      <c r="B53" s="427"/>
      <c r="C53" s="427"/>
    </row>
    <row r="54" spans="1:3" ht="15.75">
      <c r="A54" s="427"/>
      <c r="B54" s="427"/>
      <c r="C54" s="427"/>
    </row>
    <row r="55" spans="1:3" ht="15.75">
      <c r="A55" s="427"/>
      <c r="B55" s="427"/>
      <c r="C55" s="427"/>
    </row>
    <row r="56" spans="1:3" ht="15.75">
      <c r="A56" s="427"/>
      <c r="B56" s="427"/>
      <c r="C56" s="427"/>
    </row>
    <row r="57" spans="1:3" ht="15.75">
      <c r="A57" s="427"/>
      <c r="B57" s="427"/>
      <c r="C57" s="427"/>
    </row>
    <row r="58" spans="1:3" ht="15.75">
      <c r="A58" s="427"/>
      <c r="B58" s="427"/>
      <c r="C58" s="427"/>
    </row>
    <row r="59" spans="1:3" ht="15.75">
      <c r="A59" s="427"/>
      <c r="B59" s="427"/>
      <c r="C59" s="427"/>
    </row>
    <row r="60" spans="1:3" ht="15.75">
      <c r="A60" s="427"/>
      <c r="B60" s="427"/>
      <c r="C60" s="427"/>
    </row>
    <row r="61" spans="1:3" ht="15.75">
      <c r="A61" s="427"/>
      <c r="B61" s="427"/>
      <c r="C61" s="427"/>
    </row>
    <row r="62" spans="1:3" ht="15.75">
      <c r="A62" s="427"/>
      <c r="B62" s="427"/>
      <c r="C62" s="427"/>
    </row>
    <row r="63" spans="1:3" ht="15.75">
      <c r="A63" s="427"/>
      <c r="B63" s="427"/>
      <c r="C63" s="427"/>
    </row>
    <row r="64" spans="1:3" ht="15.75">
      <c r="A64" s="427"/>
      <c r="B64" s="427"/>
      <c r="C64" s="427"/>
    </row>
    <row r="65" spans="1:3" ht="15.75">
      <c r="A65" s="427"/>
      <c r="B65" s="427"/>
      <c r="C65" s="427"/>
    </row>
    <row r="66" spans="1:3" ht="15.75">
      <c r="A66" s="427"/>
      <c r="B66" s="427"/>
      <c r="C66" s="427"/>
    </row>
    <row r="67" spans="1:3" ht="15.75">
      <c r="A67" s="427"/>
      <c r="B67" s="427"/>
      <c r="C67" s="427"/>
    </row>
    <row r="68" spans="1:3" ht="15.75">
      <c r="A68" s="427"/>
      <c r="B68" s="427"/>
      <c r="C68" s="427"/>
    </row>
    <row r="69" spans="1:3" ht="15.75">
      <c r="A69" s="427"/>
      <c r="B69" s="427"/>
      <c r="C69" s="427"/>
    </row>
    <row r="70" spans="1:3" ht="15.75">
      <c r="A70" s="427"/>
      <c r="B70" s="427"/>
      <c r="C70" s="427"/>
    </row>
    <row r="71" spans="1:3" ht="15.75">
      <c r="A71" s="427"/>
      <c r="B71" s="427"/>
      <c r="C71" s="427"/>
    </row>
    <row r="72" spans="1:3" ht="15.75">
      <c r="A72" s="427"/>
      <c r="B72" s="427"/>
      <c r="C72" s="427"/>
    </row>
    <row r="73" spans="1:3" ht="15.75">
      <c r="A73" s="427"/>
      <c r="B73" s="427"/>
      <c r="C73" s="427"/>
    </row>
    <row r="74" spans="1:3" ht="15.75">
      <c r="A74" s="427"/>
      <c r="B74" s="427"/>
      <c r="C74" s="427"/>
    </row>
    <row r="75" spans="1:3" ht="15.75">
      <c r="A75" s="427"/>
      <c r="B75" s="427"/>
      <c r="C75" s="427"/>
    </row>
    <row r="76" spans="1:3" ht="15.75">
      <c r="A76" s="427"/>
      <c r="B76" s="427"/>
      <c r="C76" s="427"/>
    </row>
    <row r="77" spans="1:3" ht="15.75">
      <c r="A77" s="427"/>
      <c r="B77" s="427"/>
      <c r="C77" s="427"/>
    </row>
  </sheetData>
  <sheetProtection/>
  <mergeCells count="9">
    <mergeCell ref="B29:C29"/>
    <mergeCell ref="B33:C33"/>
    <mergeCell ref="A39:C39"/>
    <mergeCell ref="A12:C12"/>
    <mergeCell ref="A13:C13"/>
    <mergeCell ref="B16:C16"/>
    <mergeCell ref="B19:C19"/>
    <mergeCell ref="B21:C21"/>
    <mergeCell ref="B25:C25"/>
  </mergeCells>
  <printOptions/>
  <pageMargins left="0.7" right="0.2" top="0.35" bottom="0.36" header="0.3" footer="0.3"/>
  <pageSetup fitToHeight="2" fitToWidth="1"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66"/>
  <sheetViews>
    <sheetView view="pageBreakPreview" zoomScale="75" zoomScaleSheetLayoutView="75" zoomScalePageLayoutView="0" workbookViewId="0" topLeftCell="A32">
      <selection activeCell="E63" sqref="E63"/>
    </sheetView>
  </sheetViews>
  <sheetFormatPr defaultColWidth="9.00390625" defaultRowHeight="15.75" outlineLevelRow="1"/>
  <cols>
    <col min="1" max="1" width="14.125" style="108" customWidth="1"/>
    <col min="2" max="2" width="57.375" style="108" customWidth="1"/>
    <col min="3" max="3" width="16.375" style="827" customWidth="1"/>
    <col min="4" max="4" width="9.00390625" style="108" customWidth="1"/>
    <col min="5" max="5" width="9.75390625" style="108" bestFit="1" customWidth="1"/>
    <col min="6" max="16384" width="9.00390625" style="108" customWidth="1"/>
  </cols>
  <sheetData>
    <row r="1" ht="15.75" outlineLevel="1">
      <c r="C1" s="822" t="s">
        <v>763</v>
      </c>
    </row>
    <row r="2" ht="15.75" outlineLevel="1">
      <c r="C2" s="822" t="s">
        <v>37</v>
      </c>
    </row>
    <row r="3" ht="15.75" outlineLevel="1">
      <c r="C3" s="823" t="s">
        <v>379</v>
      </c>
    </row>
    <row r="4" ht="15.75" outlineLevel="1">
      <c r="C4" s="824"/>
    </row>
    <row r="5" ht="15.75" outlineLevel="1">
      <c r="C5" s="824" t="s">
        <v>38</v>
      </c>
    </row>
    <row r="6" ht="15.75" outlineLevel="1">
      <c r="C6" s="824" t="s">
        <v>647</v>
      </c>
    </row>
    <row r="7" ht="15.75" outlineLevel="1">
      <c r="C7" s="824"/>
    </row>
    <row r="8" ht="15.75" outlineLevel="1">
      <c r="C8" s="824" t="s">
        <v>648</v>
      </c>
    </row>
    <row r="9" ht="15.75" outlineLevel="1">
      <c r="C9" s="109" t="s">
        <v>795</v>
      </c>
    </row>
    <row r="10" ht="15.75" outlineLevel="1">
      <c r="C10" s="824" t="s">
        <v>42</v>
      </c>
    </row>
    <row r="11" ht="15.75">
      <c r="C11" s="825"/>
    </row>
    <row r="12" spans="1:16" ht="42.75" customHeight="1">
      <c r="A12" s="1061" t="s">
        <v>792</v>
      </c>
      <c r="B12" s="1061"/>
      <c r="C12" s="1061"/>
      <c r="D12" s="826"/>
      <c r="E12" s="826"/>
      <c r="F12" s="826"/>
      <c r="G12" s="826"/>
      <c r="H12" s="826"/>
      <c r="I12" s="826"/>
      <c r="J12" s="826"/>
      <c r="K12" s="826"/>
      <c r="L12" s="826"/>
      <c r="M12" s="826"/>
      <c r="N12" s="826"/>
      <c r="O12" s="826"/>
      <c r="P12" s="826"/>
    </row>
    <row r="13" spans="1:3" ht="31.5" customHeight="1">
      <c r="A13" s="1062" t="e">
        <f>#REF!</f>
        <v>#REF!</v>
      </c>
      <c r="B13" s="1062"/>
      <c r="C13" s="1062"/>
    </row>
    <row r="14" ht="16.5" thickBot="1"/>
    <row r="15" spans="1:3" ht="21.75" customHeight="1" thickBot="1">
      <c r="A15" s="828" t="s">
        <v>764</v>
      </c>
      <c r="B15" s="829" t="s">
        <v>529</v>
      </c>
      <c r="C15" s="830" t="s">
        <v>765</v>
      </c>
    </row>
    <row r="16" spans="1:7" ht="15.75">
      <c r="A16" s="831" t="s">
        <v>237</v>
      </c>
      <c r="B16" s="1063" t="s">
        <v>766</v>
      </c>
      <c r="C16" s="1064"/>
      <c r="E16" s="483"/>
      <c r="F16" s="483"/>
      <c r="G16" s="483"/>
    </row>
    <row r="17" spans="1:7" ht="15.75">
      <c r="A17" s="832" t="s">
        <v>238</v>
      </c>
      <c r="B17" s="833" t="s">
        <v>499</v>
      </c>
      <c r="C17" s="834" t="s">
        <v>767</v>
      </c>
      <c r="E17" s="483"/>
      <c r="F17" s="483"/>
      <c r="G17" s="483"/>
    </row>
    <row r="18" spans="1:7" ht="31.5" hidden="1">
      <c r="A18" s="832" t="s">
        <v>239</v>
      </c>
      <c r="B18" s="833" t="s">
        <v>526</v>
      </c>
      <c r="C18" s="834"/>
      <c r="E18" s="483"/>
      <c r="F18" s="483"/>
      <c r="G18" s="483"/>
    </row>
    <row r="19" spans="1:7" ht="15.75">
      <c r="A19" s="832" t="s">
        <v>240</v>
      </c>
      <c r="B19" s="1065" t="s">
        <v>768</v>
      </c>
      <c r="C19" s="1066"/>
      <c r="E19" s="483"/>
      <c r="F19" s="483"/>
      <c r="G19" s="483"/>
    </row>
    <row r="20" spans="1:7" ht="15.75">
      <c r="A20" s="832" t="s">
        <v>238</v>
      </c>
      <c r="B20" s="833" t="s">
        <v>499</v>
      </c>
      <c r="C20" s="834" t="s">
        <v>769</v>
      </c>
      <c r="E20" s="483"/>
      <c r="F20" s="483"/>
      <c r="G20" s="483"/>
    </row>
    <row r="21" spans="1:7" ht="15.75">
      <c r="A21" s="832" t="s">
        <v>240</v>
      </c>
      <c r="B21" s="1065" t="s">
        <v>768</v>
      </c>
      <c r="C21" s="1066"/>
      <c r="E21" s="483"/>
      <c r="F21" s="483"/>
      <c r="G21" s="483"/>
    </row>
    <row r="22" spans="1:7" ht="15.75">
      <c r="A22" s="832" t="s">
        <v>242</v>
      </c>
      <c r="B22" s="837" t="s">
        <v>501</v>
      </c>
      <c r="C22" s="834" t="s">
        <v>767</v>
      </c>
      <c r="E22" s="483"/>
      <c r="F22" s="483"/>
      <c r="G22" s="483"/>
    </row>
    <row r="23" spans="1:7" ht="15.75">
      <c r="A23" s="832" t="s">
        <v>244</v>
      </c>
      <c r="B23" s="837" t="s">
        <v>503</v>
      </c>
      <c r="C23" s="834" t="s">
        <v>767</v>
      </c>
      <c r="E23" s="483"/>
      <c r="F23" s="483"/>
      <c r="G23" s="483"/>
    </row>
    <row r="24" spans="1:7" ht="15.75">
      <c r="A24" s="832" t="s">
        <v>334</v>
      </c>
      <c r="B24" s="833" t="s">
        <v>505</v>
      </c>
      <c r="C24" s="834"/>
      <c r="E24" s="483"/>
      <c r="F24" s="483"/>
      <c r="G24" s="483"/>
    </row>
    <row r="25" spans="1:7" ht="15.75">
      <c r="A25" s="832">
        <v>3</v>
      </c>
      <c r="B25" s="1058" t="s">
        <v>770</v>
      </c>
      <c r="C25" s="1059"/>
      <c r="E25" s="483"/>
      <c r="F25" s="483"/>
      <c r="G25" s="483"/>
    </row>
    <row r="26" spans="1:7" ht="31.5">
      <c r="A26" s="832" t="s">
        <v>365</v>
      </c>
      <c r="B26" s="833" t="s">
        <v>507</v>
      </c>
      <c r="C26" s="834"/>
      <c r="E26" s="483"/>
      <c r="F26" s="483"/>
      <c r="G26" s="483"/>
    </row>
    <row r="27" spans="1:7" ht="31.5">
      <c r="A27" s="832" t="s">
        <v>366</v>
      </c>
      <c r="B27" s="833" t="s">
        <v>509</v>
      </c>
      <c r="C27" s="834"/>
      <c r="E27" s="483"/>
      <c r="F27" s="483"/>
      <c r="G27" s="483"/>
    </row>
    <row r="28" spans="1:7" ht="15.75">
      <c r="A28" s="832" t="s">
        <v>367</v>
      </c>
      <c r="B28" s="833" t="s">
        <v>511</v>
      </c>
      <c r="C28" s="834"/>
      <c r="E28" s="483"/>
      <c r="F28" s="483"/>
      <c r="G28" s="483"/>
    </row>
    <row r="29" spans="1:7" ht="15.75">
      <c r="A29" s="832">
        <v>4</v>
      </c>
      <c r="B29" s="1058" t="s">
        <v>771</v>
      </c>
      <c r="C29" s="1059"/>
      <c r="E29" s="483"/>
      <c r="F29" s="483"/>
      <c r="G29" s="483"/>
    </row>
    <row r="30" spans="1:7" ht="15.75">
      <c r="A30" s="832" t="s">
        <v>245</v>
      </c>
      <c r="B30" s="833" t="s">
        <v>513</v>
      </c>
      <c r="C30" s="834"/>
      <c r="E30" s="483"/>
      <c r="F30" s="483"/>
      <c r="G30" s="483"/>
    </row>
    <row r="31" spans="1:7" ht="15" customHeight="1">
      <c r="A31" s="832" t="s">
        <v>305</v>
      </c>
      <c r="B31" s="833" t="s">
        <v>515</v>
      </c>
      <c r="C31" s="834"/>
      <c r="E31" s="483"/>
      <c r="F31" s="483"/>
      <c r="G31" s="483"/>
    </row>
    <row r="32" spans="1:7" ht="15" customHeight="1">
      <c r="A32" s="832" t="s">
        <v>772</v>
      </c>
      <c r="B32" s="833" t="s">
        <v>517</v>
      </c>
      <c r="C32" s="834"/>
      <c r="E32" s="483"/>
      <c r="F32" s="483"/>
      <c r="G32" s="483"/>
    </row>
    <row r="33" spans="1:7" ht="15.75">
      <c r="A33" s="832">
        <v>6</v>
      </c>
      <c r="B33" s="1058" t="s">
        <v>773</v>
      </c>
      <c r="C33" s="1059"/>
      <c r="E33" s="483"/>
      <c r="F33" s="483"/>
      <c r="G33" s="483"/>
    </row>
    <row r="34" spans="1:7" ht="31.5">
      <c r="A34" s="832" t="s">
        <v>774</v>
      </c>
      <c r="B34" s="833" t="s">
        <v>519</v>
      </c>
      <c r="C34" s="834"/>
      <c r="E34" s="483"/>
      <c r="F34" s="483"/>
      <c r="G34" s="483"/>
    </row>
    <row r="35" spans="1:7" ht="15.75">
      <c r="A35" s="832" t="s">
        <v>775</v>
      </c>
      <c r="B35" s="833" t="s">
        <v>521</v>
      </c>
      <c r="C35" s="834"/>
      <c r="E35" s="483"/>
      <c r="F35" s="483"/>
      <c r="G35" s="483"/>
    </row>
    <row r="36" spans="1:7" ht="46.5" customHeight="1" thickBot="1">
      <c r="A36" s="313" t="s">
        <v>776</v>
      </c>
      <c r="B36" s="835" t="s">
        <v>777</v>
      </c>
      <c r="C36" s="836"/>
      <c r="E36" s="483"/>
      <c r="F36" s="483"/>
      <c r="G36" s="483"/>
    </row>
    <row r="39" spans="1:3" ht="15.75">
      <c r="A39" s="1060" t="str">
        <f>'11.2 (Склад ГСМ с.Вывенка)'!A39:C39</f>
        <v>Начальник ПТО                                                                      С. А. Апекин</v>
      </c>
      <c r="B39" s="1060"/>
      <c r="C39" s="1060"/>
    </row>
    <row r="42" spans="1:3" ht="15.75">
      <c r="A42" s="427"/>
      <c r="B42" s="427"/>
      <c r="C42" s="427"/>
    </row>
    <row r="43" spans="1:3" ht="15.75">
      <c r="A43" s="427"/>
      <c r="B43" s="427"/>
      <c r="C43" s="427"/>
    </row>
    <row r="44" spans="1:3" ht="15.75">
      <c r="A44" s="427"/>
      <c r="B44" s="427"/>
      <c r="C44" s="427"/>
    </row>
    <row r="45" spans="1:3" ht="15.75">
      <c r="A45" s="427"/>
      <c r="B45" s="427"/>
      <c r="C45" s="427"/>
    </row>
    <row r="46" spans="1:3" ht="15.75">
      <c r="A46" s="427"/>
      <c r="B46" s="427"/>
      <c r="C46" s="427"/>
    </row>
    <row r="47" spans="1:3" ht="15.75">
      <c r="A47" s="427"/>
      <c r="B47" s="427"/>
      <c r="C47" s="427"/>
    </row>
    <row r="48" spans="1:3" ht="15.75">
      <c r="A48" s="427"/>
      <c r="B48" s="427"/>
      <c r="C48" s="427"/>
    </row>
    <row r="49" spans="1:3" ht="15.75">
      <c r="A49" s="427"/>
      <c r="B49" s="427"/>
      <c r="C49" s="427"/>
    </row>
    <row r="50" spans="1:3" ht="15.75">
      <c r="A50" s="427"/>
      <c r="B50" s="427"/>
      <c r="C50" s="427"/>
    </row>
    <row r="51" spans="1:3" ht="15.75">
      <c r="A51" s="427"/>
      <c r="B51" s="427"/>
      <c r="C51" s="427"/>
    </row>
    <row r="52" spans="1:3" ht="15.75">
      <c r="A52" s="427"/>
      <c r="B52" s="427"/>
      <c r="C52" s="427"/>
    </row>
    <row r="53" spans="1:3" ht="15.75">
      <c r="A53" s="427"/>
      <c r="B53" s="427"/>
      <c r="C53" s="427"/>
    </row>
    <row r="54" spans="1:3" ht="15.75">
      <c r="A54" s="427"/>
      <c r="B54" s="427"/>
      <c r="C54" s="427"/>
    </row>
    <row r="55" spans="1:3" ht="15.75">
      <c r="A55" s="427"/>
      <c r="B55" s="427"/>
      <c r="C55" s="427"/>
    </row>
    <row r="56" spans="1:3" ht="15.75">
      <c r="A56" s="427"/>
      <c r="B56" s="427"/>
      <c r="C56" s="427"/>
    </row>
    <row r="57" spans="1:3" ht="15.75">
      <c r="A57" s="427"/>
      <c r="B57" s="427"/>
      <c r="C57" s="427"/>
    </row>
    <row r="58" spans="1:3" ht="15.75">
      <c r="A58" s="427"/>
      <c r="B58" s="427"/>
      <c r="C58" s="427"/>
    </row>
    <row r="59" spans="1:3" ht="15.75">
      <c r="A59" s="427"/>
      <c r="B59" s="427"/>
      <c r="C59" s="427"/>
    </row>
    <row r="60" spans="1:3" ht="15.75">
      <c r="A60" s="427"/>
      <c r="B60" s="427"/>
      <c r="C60" s="427"/>
    </row>
    <row r="61" spans="1:3" ht="15.75">
      <c r="A61" s="427"/>
      <c r="B61" s="427"/>
      <c r="C61" s="427"/>
    </row>
    <row r="62" spans="1:3" ht="15.75">
      <c r="A62" s="427"/>
      <c r="B62" s="427"/>
      <c r="C62" s="427"/>
    </row>
    <row r="63" spans="1:3" ht="15.75">
      <c r="A63" s="427"/>
      <c r="B63" s="427"/>
      <c r="C63" s="427"/>
    </row>
    <row r="64" spans="1:3" ht="15.75">
      <c r="A64" s="427"/>
      <c r="B64" s="427"/>
      <c r="C64" s="427"/>
    </row>
    <row r="65" spans="1:3" ht="15.75">
      <c r="A65" s="427"/>
      <c r="B65" s="427"/>
      <c r="C65" s="427"/>
    </row>
    <row r="66" spans="1:3" ht="15.75">
      <c r="A66" s="427"/>
      <c r="B66" s="427"/>
      <c r="C66" s="427"/>
    </row>
  </sheetData>
  <sheetProtection/>
  <mergeCells count="9">
    <mergeCell ref="B29:C29"/>
    <mergeCell ref="B33:C33"/>
    <mergeCell ref="A39:C39"/>
    <mergeCell ref="A12:C12"/>
    <mergeCell ref="A13:C13"/>
    <mergeCell ref="B16:C16"/>
    <mergeCell ref="B19:C19"/>
    <mergeCell ref="B21:C21"/>
    <mergeCell ref="B25:C25"/>
  </mergeCells>
  <printOptions/>
  <pageMargins left="0.7" right="0.2" top="0.35" bottom="0.36" header="0.3" footer="0.3"/>
  <pageSetup fitToHeight="2" fitToWidth="1"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62"/>
  <sheetViews>
    <sheetView view="pageBreakPreview" zoomScale="75" zoomScaleSheetLayoutView="75" zoomScalePageLayoutView="0" workbookViewId="0" topLeftCell="A21">
      <selection activeCell="E57" sqref="E57"/>
    </sheetView>
  </sheetViews>
  <sheetFormatPr defaultColWidth="9.00390625" defaultRowHeight="15.75" outlineLevelRow="1"/>
  <cols>
    <col min="1" max="1" width="14.125" style="108" customWidth="1"/>
    <col min="2" max="2" width="57.375" style="108" customWidth="1"/>
    <col min="3" max="3" width="16.375" style="827" customWidth="1"/>
    <col min="4" max="4" width="9.00390625" style="108" customWidth="1"/>
    <col min="5" max="5" width="9.75390625" style="108" bestFit="1" customWidth="1"/>
    <col min="6" max="16384" width="9.00390625" style="108" customWidth="1"/>
  </cols>
  <sheetData>
    <row r="1" ht="15.75" outlineLevel="1">
      <c r="C1" s="822" t="s">
        <v>763</v>
      </c>
    </row>
    <row r="2" ht="15.75" outlineLevel="1">
      <c r="C2" s="822" t="s">
        <v>37</v>
      </c>
    </row>
    <row r="3" ht="15.75" outlineLevel="1">
      <c r="C3" s="823" t="s">
        <v>379</v>
      </c>
    </row>
    <row r="4" ht="15.75" outlineLevel="1">
      <c r="C4" s="824"/>
    </row>
    <row r="5" ht="15.75" outlineLevel="1">
      <c r="C5" s="824" t="s">
        <v>38</v>
      </c>
    </row>
    <row r="6" ht="15.75" outlineLevel="1">
      <c r="C6" s="824" t="s">
        <v>647</v>
      </c>
    </row>
    <row r="7" ht="15.75" outlineLevel="1">
      <c r="C7" s="824"/>
    </row>
    <row r="8" ht="15.75" outlineLevel="1">
      <c r="C8" s="824" t="s">
        <v>648</v>
      </c>
    </row>
    <row r="9" ht="15.75" outlineLevel="1">
      <c r="C9" s="109" t="s">
        <v>795</v>
      </c>
    </row>
    <row r="10" ht="15.75" outlineLevel="1">
      <c r="C10" s="824" t="s">
        <v>42</v>
      </c>
    </row>
    <row r="11" ht="15.75">
      <c r="C11" s="825"/>
    </row>
    <row r="12" spans="1:16" ht="42.75" customHeight="1">
      <c r="A12" s="1061" t="s">
        <v>792</v>
      </c>
      <c r="B12" s="1061"/>
      <c r="C12" s="1061"/>
      <c r="D12" s="826"/>
      <c r="E12" s="826"/>
      <c r="F12" s="826"/>
      <c r="G12" s="826"/>
      <c r="H12" s="826"/>
      <c r="I12" s="826"/>
      <c r="J12" s="826"/>
      <c r="K12" s="826"/>
      <c r="L12" s="826"/>
      <c r="M12" s="826"/>
      <c r="N12" s="826"/>
      <c r="O12" s="826"/>
      <c r="P12" s="826"/>
    </row>
    <row r="13" spans="1:3" ht="31.5" customHeight="1">
      <c r="A13" s="1062" t="e">
        <f>#REF!</f>
        <v>#REF!</v>
      </c>
      <c r="B13" s="1062"/>
      <c r="C13" s="1062"/>
    </row>
    <row r="14" ht="16.5" thickBot="1"/>
    <row r="15" spans="1:3" ht="21.75" customHeight="1" thickBot="1">
      <c r="A15" s="828" t="s">
        <v>764</v>
      </c>
      <c r="B15" s="829" t="s">
        <v>529</v>
      </c>
      <c r="C15" s="830" t="s">
        <v>765</v>
      </c>
    </row>
    <row r="16" spans="1:7" ht="15.75">
      <c r="A16" s="831" t="s">
        <v>237</v>
      </c>
      <c r="B16" s="1063" t="s">
        <v>766</v>
      </c>
      <c r="C16" s="1064"/>
      <c r="E16" s="483"/>
      <c r="F16" s="483"/>
      <c r="G16" s="483"/>
    </row>
    <row r="17" spans="1:7" ht="15.75">
      <c r="A17" s="832" t="s">
        <v>238</v>
      </c>
      <c r="B17" s="833" t="s">
        <v>499</v>
      </c>
      <c r="C17" s="834" t="s">
        <v>767</v>
      </c>
      <c r="E17" s="483"/>
      <c r="F17" s="483"/>
      <c r="G17" s="483"/>
    </row>
    <row r="18" spans="1:7" ht="31.5" hidden="1">
      <c r="A18" s="832" t="s">
        <v>239</v>
      </c>
      <c r="B18" s="833" t="s">
        <v>526</v>
      </c>
      <c r="C18" s="834"/>
      <c r="E18" s="483"/>
      <c r="F18" s="483"/>
      <c r="G18" s="483"/>
    </row>
    <row r="19" spans="1:7" ht="15.75">
      <c r="A19" s="832" t="s">
        <v>240</v>
      </c>
      <c r="B19" s="1065" t="s">
        <v>768</v>
      </c>
      <c r="C19" s="1066"/>
      <c r="E19" s="483"/>
      <c r="F19" s="483"/>
      <c r="G19" s="483"/>
    </row>
    <row r="20" spans="1:7" ht="15.75">
      <c r="A20" s="832" t="s">
        <v>238</v>
      </c>
      <c r="B20" s="833" t="s">
        <v>499</v>
      </c>
      <c r="C20" s="834" t="s">
        <v>769</v>
      </c>
      <c r="E20" s="483"/>
      <c r="F20" s="483"/>
      <c r="G20" s="483"/>
    </row>
    <row r="21" spans="1:7" ht="15.75">
      <c r="A21" s="832">
        <v>3</v>
      </c>
      <c r="B21" s="1058" t="s">
        <v>770</v>
      </c>
      <c r="C21" s="1059"/>
      <c r="E21" s="483"/>
      <c r="F21" s="483"/>
      <c r="G21" s="483"/>
    </row>
    <row r="22" spans="1:7" ht="31.5">
      <c r="A22" s="832" t="s">
        <v>365</v>
      </c>
      <c r="B22" s="833" t="s">
        <v>507</v>
      </c>
      <c r="C22" s="834"/>
      <c r="E22" s="483"/>
      <c r="F22" s="483"/>
      <c r="G22" s="483"/>
    </row>
    <row r="23" spans="1:7" ht="31.5">
      <c r="A23" s="832" t="s">
        <v>366</v>
      </c>
      <c r="B23" s="833" t="s">
        <v>509</v>
      </c>
      <c r="C23" s="834"/>
      <c r="E23" s="483"/>
      <c r="F23" s="483"/>
      <c r="G23" s="483"/>
    </row>
    <row r="24" spans="1:7" ht="15.75">
      <c r="A24" s="832" t="s">
        <v>367</v>
      </c>
      <c r="B24" s="833" t="s">
        <v>511</v>
      </c>
      <c r="C24" s="834"/>
      <c r="E24" s="483"/>
      <c r="F24" s="483"/>
      <c r="G24" s="483"/>
    </row>
    <row r="25" spans="1:7" ht="15.75">
      <c r="A25" s="832">
        <v>4</v>
      </c>
      <c r="B25" s="1058" t="s">
        <v>771</v>
      </c>
      <c r="C25" s="1059"/>
      <c r="E25" s="483"/>
      <c r="F25" s="483"/>
      <c r="G25" s="483"/>
    </row>
    <row r="26" spans="1:7" ht="15.75">
      <c r="A26" s="832" t="s">
        <v>245</v>
      </c>
      <c r="B26" s="833" t="s">
        <v>513</v>
      </c>
      <c r="C26" s="834"/>
      <c r="E26" s="483"/>
      <c r="F26" s="483"/>
      <c r="G26" s="483"/>
    </row>
    <row r="27" spans="1:7" ht="15" customHeight="1">
      <c r="A27" s="832" t="s">
        <v>305</v>
      </c>
      <c r="B27" s="833" t="s">
        <v>515</v>
      </c>
      <c r="C27" s="834"/>
      <c r="E27" s="483"/>
      <c r="F27" s="483"/>
      <c r="G27" s="483"/>
    </row>
    <row r="28" spans="1:7" ht="15" customHeight="1">
      <c r="A28" s="832" t="s">
        <v>772</v>
      </c>
      <c r="B28" s="833" t="s">
        <v>517</v>
      </c>
      <c r="C28" s="834"/>
      <c r="E28" s="483"/>
      <c r="F28" s="483"/>
      <c r="G28" s="483"/>
    </row>
    <row r="29" spans="1:7" ht="15.75">
      <c r="A29" s="832">
        <v>6</v>
      </c>
      <c r="B29" s="1058" t="s">
        <v>773</v>
      </c>
      <c r="C29" s="1059"/>
      <c r="E29" s="483"/>
      <c r="F29" s="483"/>
      <c r="G29" s="483"/>
    </row>
    <row r="30" spans="1:7" ht="31.5">
      <c r="A30" s="832" t="s">
        <v>774</v>
      </c>
      <c r="B30" s="833" t="s">
        <v>519</v>
      </c>
      <c r="C30" s="834"/>
      <c r="E30" s="483"/>
      <c r="F30" s="483"/>
      <c r="G30" s="483"/>
    </row>
    <row r="31" spans="1:7" ht="15.75">
      <c r="A31" s="832" t="s">
        <v>775</v>
      </c>
      <c r="B31" s="833" t="s">
        <v>521</v>
      </c>
      <c r="C31" s="834"/>
      <c r="E31" s="483"/>
      <c r="F31" s="483"/>
      <c r="G31" s="483"/>
    </row>
    <row r="32" spans="1:7" ht="46.5" customHeight="1" thickBot="1">
      <c r="A32" s="313" t="s">
        <v>776</v>
      </c>
      <c r="B32" s="835" t="s">
        <v>777</v>
      </c>
      <c r="C32" s="836"/>
      <c r="E32" s="483"/>
      <c r="F32" s="483"/>
      <c r="G32" s="483"/>
    </row>
    <row r="35" spans="1:3" ht="15.75">
      <c r="A35" s="1060" t="str">
        <f>'11.2 (Склад ГСМ с.Вывенка)'!A39:C39</f>
        <v>Начальник ПТО                                                                      С. А. Апекин</v>
      </c>
      <c r="B35" s="1060"/>
      <c r="C35" s="1060"/>
    </row>
    <row r="38" spans="1:3" ht="15.75">
      <c r="A38" s="427"/>
      <c r="B38" s="427"/>
      <c r="C38" s="427"/>
    </row>
    <row r="39" spans="1:3" ht="15.75">
      <c r="A39" s="427"/>
      <c r="B39" s="427"/>
      <c r="C39" s="427"/>
    </row>
    <row r="40" spans="1:3" ht="15.75">
      <c r="A40" s="427"/>
      <c r="B40" s="427"/>
      <c r="C40" s="427"/>
    </row>
    <row r="41" spans="1:3" ht="15.75">
      <c r="A41" s="427"/>
      <c r="B41" s="427"/>
      <c r="C41" s="427"/>
    </row>
    <row r="42" spans="1:3" ht="15.75">
      <c r="A42" s="427"/>
      <c r="B42" s="427"/>
      <c r="C42" s="427"/>
    </row>
    <row r="43" spans="1:3" ht="15.75">
      <c r="A43" s="427"/>
      <c r="B43" s="427"/>
      <c r="C43" s="427"/>
    </row>
    <row r="44" spans="1:3" ht="15.75">
      <c r="A44" s="427"/>
      <c r="B44" s="427"/>
      <c r="C44" s="427"/>
    </row>
    <row r="45" spans="1:3" ht="15.75">
      <c r="A45" s="427"/>
      <c r="B45" s="427"/>
      <c r="C45" s="427"/>
    </row>
    <row r="46" spans="1:3" ht="15.75">
      <c r="A46" s="427"/>
      <c r="B46" s="427"/>
      <c r="C46" s="427"/>
    </row>
    <row r="47" spans="1:3" ht="15.75">
      <c r="A47" s="427"/>
      <c r="B47" s="427"/>
      <c r="C47" s="427"/>
    </row>
    <row r="48" spans="1:3" ht="15.75">
      <c r="A48" s="427"/>
      <c r="B48" s="427"/>
      <c r="C48" s="427"/>
    </row>
    <row r="49" spans="1:3" ht="15.75">
      <c r="A49" s="427"/>
      <c r="B49" s="427"/>
      <c r="C49" s="427"/>
    </row>
    <row r="50" spans="1:3" ht="15.75">
      <c r="A50" s="427"/>
      <c r="B50" s="427"/>
      <c r="C50" s="427"/>
    </row>
    <row r="51" spans="1:3" ht="15.75">
      <c r="A51" s="427"/>
      <c r="B51" s="427"/>
      <c r="C51" s="427"/>
    </row>
    <row r="52" spans="1:3" ht="15.75">
      <c r="A52" s="427"/>
      <c r="B52" s="427"/>
      <c r="C52" s="427"/>
    </row>
    <row r="53" spans="1:3" ht="15.75">
      <c r="A53" s="427"/>
      <c r="B53" s="427"/>
      <c r="C53" s="427"/>
    </row>
    <row r="54" spans="1:3" ht="15.75">
      <c r="A54" s="427"/>
      <c r="B54" s="427"/>
      <c r="C54" s="427"/>
    </row>
    <row r="55" spans="1:3" ht="15.75">
      <c r="A55" s="427"/>
      <c r="B55" s="427"/>
      <c r="C55" s="427"/>
    </row>
    <row r="56" spans="1:3" ht="15.75">
      <c r="A56" s="427"/>
      <c r="B56" s="427"/>
      <c r="C56" s="427"/>
    </row>
    <row r="57" spans="1:3" ht="15.75">
      <c r="A57" s="427"/>
      <c r="B57" s="427"/>
      <c r="C57" s="427"/>
    </row>
    <row r="58" spans="1:3" ht="15.75">
      <c r="A58" s="427"/>
      <c r="B58" s="427"/>
      <c r="C58" s="427"/>
    </row>
    <row r="59" spans="1:3" ht="15.75">
      <c r="A59" s="427"/>
      <c r="B59" s="427"/>
      <c r="C59" s="427"/>
    </row>
    <row r="60" spans="1:3" ht="15.75">
      <c r="A60" s="427"/>
      <c r="B60" s="427"/>
      <c r="C60" s="427"/>
    </row>
    <row r="61" spans="1:3" ht="15.75">
      <c r="A61" s="427"/>
      <c r="B61" s="427"/>
      <c r="C61" s="427"/>
    </row>
    <row r="62" spans="1:3" ht="15.75">
      <c r="A62" s="427"/>
      <c r="B62" s="427"/>
      <c r="C62" s="427"/>
    </row>
  </sheetData>
  <sheetProtection/>
  <mergeCells count="8">
    <mergeCell ref="B29:C29"/>
    <mergeCell ref="A35:C35"/>
    <mergeCell ref="A12:C12"/>
    <mergeCell ref="A13:C13"/>
    <mergeCell ref="B16:C16"/>
    <mergeCell ref="B19:C19"/>
    <mergeCell ref="B21:C21"/>
    <mergeCell ref="B25:C25"/>
  </mergeCells>
  <printOptions/>
  <pageMargins left="0.7" right="0.2" top="0.35" bottom="0.36" header="0.3" footer="0.3"/>
  <pageSetup fitToHeight="2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27"/>
  <sheetViews>
    <sheetView view="pageBreakPreview" zoomScale="87" zoomScaleSheetLayoutView="87" zoomScalePageLayoutView="0" workbookViewId="0" topLeftCell="A1">
      <pane xSplit="2" ySplit="17" topLeftCell="C18" activePane="bottomRight" state="frozen"/>
      <selection pane="topLeft" activeCell="A1" sqref="A1"/>
      <selection pane="topRight" activeCell="C1" sqref="C1"/>
      <selection pane="bottomLeft" activeCell="A18" sqref="A18"/>
      <selection pane="bottomRight" activeCell="C18" sqref="C18"/>
    </sheetView>
  </sheetViews>
  <sheetFormatPr defaultColWidth="9.00390625" defaultRowHeight="15.75"/>
  <cols>
    <col min="1" max="1" width="7.25390625" style="1" customWidth="1"/>
    <col min="2" max="2" width="25.25390625" style="1" customWidth="1"/>
    <col min="3" max="6" width="21.25390625" style="1" customWidth="1"/>
    <col min="7" max="8" width="8.00390625" style="1" customWidth="1"/>
    <col min="9" max="9" width="8.875" style="1" customWidth="1"/>
    <col min="10" max="10" width="10.25390625" style="1" customWidth="1"/>
    <col min="11" max="16384" width="9.00390625" style="1" customWidth="1"/>
  </cols>
  <sheetData>
    <row r="1" ht="15.75">
      <c r="F1" s="143" t="s">
        <v>134</v>
      </c>
    </row>
    <row r="2" ht="15.75">
      <c r="F2" s="143" t="s">
        <v>37</v>
      </c>
    </row>
    <row r="3" ht="15.75">
      <c r="F3" s="143" t="s">
        <v>50</v>
      </c>
    </row>
    <row r="4" ht="15.75">
      <c r="F4" s="2"/>
    </row>
    <row r="5" ht="26.25" customHeight="1">
      <c r="F5" s="2" t="s">
        <v>38</v>
      </c>
    </row>
    <row r="6" ht="15.75">
      <c r="F6" s="2" t="s">
        <v>235</v>
      </c>
    </row>
    <row r="7" ht="15.75">
      <c r="F7" s="2"/>
    </row>
    <row r="8" ht="15.75">
      <c r="F8" s="2" t="s">
        <v>368</v>
      </c>
    </row>
    <row r="9" ht="15.75">
      <c r="F9" s="2" t="s">
        <v>369</v>
      </c>
    </row>
    <row r="10" ht="15.75">
      <c r="F10" s="2" t="s">
        <v>42</v>
      </c>
    </row>
    <row r="11" spans="1:6" ht="32.25" customHeight="1">
      <c r="A11" s="932" t="s">
        <v>155</v>
      </c>
      <c r="B11" s="913"/>
      <c r="C11" s="913"/>
      <c r="D11" s="913"/>
      <c r="E11" s="913"/>
      <c r="F11" s="913"/>
    </row>
    <row r="12" spans="1:6" ht="30.75" customHeight="1">
      <c r="A12" s="953" t="s">
        <v>370</v>
      </c>
      <c r="B12" s="953"/>
      <c r="C12" s="953"/>
      <c r="D12" s="953"/>
      <c r="E12" s="953"/>
      <c r="F12" s="953"/>
    </row>
    <row r="13" ht="16.5" thickBot="1"/>
    <row r="14" spans="1:6" ht="15.75" customHeight="1">
      <c r="A14" s="960" t="s">
        <v>236</v>
      </c>
      <c r="B14" s="957" t="s">
        <v>290</v>
      </c>
      <c r="C14" s="954" t="s">
        <v>281</v>
      </c>
      <c r="D14" s="956"/>
      <c r="E14" s="954" t="s">
        <v>345</v>
      </c>
      <c r="F14" s="955"/>
    </row>
    <row r="15" spans="1:6" ht="15.75" customHeight="1">
      <c r="A15" s="961"/>
      <c r="B15" s="958"/>
      <c r="C15" s="12" t="s">
        <v>343</v>
      </c>
      <c r="D15" s="12" t="s">
        <v>260</v>
      </c>
      <c r="E15" s="12" t="s">
        <v>343</v>
      </c>
      <c r="F15" s="130" t="s">
        <v>260</v>
      </c>
    </row>
    <row r="16" spans="1:6" ht="15.75" customHeight="1">
      <c r="A16" s="962"/>
      <c r="B16" s="959"/>
      <c r="C16" s="12" t="s">
        <v>291</v>
      </c>
      <c r="D16" s="12" t="s">
        <v>291</v>
      </c>
      <c r="E16" s="12" t="s">
        <v>291</v>
      </c>
      <c r="F16" s="130" t="s">
        <v>291</v>
      </c>
    </row>
    <row r="17" spans="1:6" ht="15.75">
      <c r="A17" s="133">
        <v>1</v>
      </c>
      <c r="B17" s="132">
        <v>2</v>
      </c>
      <c r="C17" s="134">
        <v>3</v>
      </c>
      <c r="D17" s="134">
        <v>4</v>
      </c>
      <c r="E17" s="134">
        <v>5</v>
      </c>
      <c r="F17" s="135">
        <v>6</v>
      </c>
    </row>
    <row r="18" spans="1:6" ht="48" thickBot="1">
      <c r="A18" s="62"/>
      <c r="B18" s="198" t="s">
        <v>371</v>
      </c>
      <c r="C18" s="199" t="s">
        <v>374</v>
      </c>
      <c r="D18" s="136">
        <v>0</v>
      </c>
      <c r="E18" s="136"/>
      <c r="F18" s="137"/>
    </row>
    <row r="19" spans="1:10" ht="15.75">
      <c r="A19" s="25"/>
      <c r="B19" s="60"/>
      <c r="C19" s="60"/>
      <c r="D19" s="60"/>
      <c r="E19" s="60"/>
      <c r="F19" s="60"/>
      <c r="G19" s="60"/>
      <c r="H19" s="60"/>
      <c r="I19" s="60"/>
      <c r="J19" s="10"/>
    </row>
    <row r="20" ht="15.75">
      <c r="B20" s="1" t="s">
        <v>342</v>
      </c>
    </row>
    <row r="22" ht="15.75">
      <c r="E22" s="10"/>
    </row>
    <row r="23" spans="1:6" ht="15.75">
      <c r="A23" s="941" t="s">
        <v>376</v>
      </c>
      <c r="B23" s="941"/>
      <c r="C23" s="941"/>
      <c r="D23" s="941"/>
      <c r="E23" s="941"/>
      <c r="F23" s="941"/>
    </row>
    <row r="24" ht="15.75">
      <c r="E24" s="10"/>
    </row>
    <row r="25" ht="15.75">
      <c r="A25" s="17"/>
    </row>
    <row r="27" ht="15.75">
      <c r="A27" s="14"/>
    </row>
  </sheetData>
  <sheetProtection/>
  <mergeCells count="7">
    <mergeCell ref="A23:F23"/>
    <mergeCell ref="A11:F11"/>
    <mergeCell ref="E14:F14"/>
    <mergeCell ref="C14:D14"/>
    <mergeCell ref="B14:B16"/>
    <mergeCell ref="A14:A16"/>
    <mergeCell ref="A12:F12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64"/>
  <sheetViews>
    <sheetView view="pageBreakPreview" zoomScale="75" zoomScaleSheetLayoutView="75" zoomScalePageLayoutView="0" workbookViewId="0" topLeftCell="A29">
      <selection activeCell="F65" sqref="F65"/>
    </sheetView>
  </sheetViews>
  <sheetFormatPr defaultColWidth="9.00390625" defaultRowHeight="15.75" outlineLevelRow="1"/>
  <cols>
    <col min="1" max="1" width="14.125" style="108" customWidth="1"/>
    <col min="2" max="2" width="57.375" style="108" customWidth="1"/>
    <col min="3" max="3" width="16.375" style="827" customWidth="1"/>
    <col min="4" max="4" width="9.00390625" style="108" customWidth="1"/>
    <col min="5" max="5" width="9.125" style="108" bestFit="1" customWidth="1"/>
    <col min="6" max="16384" width="9.00390625" style="108" customWidth="1"/>
  </cols>
  <sheetData>
    <row r="1" ht="15.75" outlineLevel="1">
      <c r="C1" s="822" t="s">
        <v>763</v>
      </c>
    </row>
    <row r="2" ht="15.75" outlineLevel="1">
      <c r="C2" s="822" t="s">
        <v>37</v>
      </c>
    </row>
    <row r="3" ht="15.75" outlineLevel="1">
      <c r="C3" s="823" t="s">
        <v>379</v>
      </c>
    </row>
    <row r="4" ht="15.75" outlineLevel="1">
      <c r="C4" s="824"/>
    </row>
    <row r="5" ht="15.75" outlineLevel="1">
      <c r="C5" s="824" t="s">
        <v>38</v>
      </c>
    </row>
    <row r="6" ht="15.75" outlineLevel="1">
      <c r="C6" s="824" t="s">
        <v>647</v>
      </c>
    </row>
    <row r="7" ht="15.75" outlineLevel="1">
      <c r="C7" s="824"/>
    </row>
    <row r="8" ht="15.75" outlineLevel="1">
      <c r="C8" s="824" t="s">
        <v>648</v>
      </c>
    </row>
    <row r="9" ht="15.75" outlineLevel="1">
      <c r="C9" s="109" t="s">
        <v>795</v>
      </c>
    </row>
    <row r="10" ht="15.75" outlineLevel="1">
      <c r="C10" s="824" t="s">
        <v>42</v>
      </c>
    </row>
    <row r="11" ht="15.75">
      <c r="C11" s="825"/>
    </row>
    <row r="12" spans="1:16" ht="42.75" customHeight="1">
      <c r="A12" s="1061" t="s">
        <v>792</v>
      </c>
      <c r="B12" s="1061"/>
      <c r="C12" s="1061"/>
      <c r="D12" s="826"/>
      <c r="E12" s="826"/>
      <c r="F12" s="826"/>
      <c r="G12" s="826"/>
      <c r="H12" s="826"/>
      <c r="I12" s="826"/>
      <c r="J12" s="826"/>
      <c r="K12" s="826"/>
      <c r="L12" s="826"/>
      <c r="M12" s="826"/>
      <c r="N12" s="826"/>
      <c r="O12" s="826"/>
      <c r="P12" s="826"/>
    </row>
    <row r="13" spans="1:3" ht="30.75" customHeight="1">
      <c r="A13" s="1062" t="s">
        <v>660</v>
      </c>
      <c r="B13" s="1062"/>
      <c r="C13" s="1062"/>
    </row>
    <row r="14" ht="16.5" thickBot="1"/>
    <row r="15" spans="1:3" ht="21.75" customHeight="1" thickBot="1">
      <c r="A15" s="828" t="s">
        <v>764</v>
      </c>
      <c r="B15" s="829" t="s">
        <v>529</v>
      </c>
      <c r="C15" s="830" t="s">
        <v>765</v>
      </c>
    </row>
    <row r="16" spans="1:7" ht="15.75">
      <c r="A16" s="831" t="s">
        <v>237</v>
      </c>
      <c r="B16" s="1063" t="s">
        <v>766</v>
      </c>
      <c r="C16" s="1064"/>
      <c r="E16" s="483"/>
      <c r="F16" s="483"/>
      <c r="G16" s="483"/>
    </row>
    <row r="17" spans="1:8" ht="15.75">
      <c r="A17" s="832" t="s">
        <v>238</v>
      </c>
      <c r="B17" s="833" t="s">
        <v>499</v>
      </c>
      <c r="C17" s="834" t="s">
        <v>778</v>
      </c>
      <c r="E17" s="483"/>
      <c r="F17" s="483"/>
      <c r="G17" s="483"/>
      <c r="H17" s="427"/>
    </row>
    <row r="18" spans="1:8" ht="31.5">
      <c r="A18" s="832" t="s">
        <v>239</v>
      </c>
      <c r="B18" s="833" t="s">
        <v>526</v>
      </c>
      <c r="C18" s="834" t="s">
        <v>767</v>
      </c>
      <c r="E18" s="483"/>
      <c r="F18" s="483"/>
      <c r="G18" s="483"/>
      <c r="H18" s="427"/>
    </row>
    <row r="19" spans="1:8" ht="15.75">
      <c r="A19" s="832" t="s">
        <v>240</v>
      </c>
      <c r="B19" s="1065" t="s">
        <v>768</v>
      </c>
      <c r="C19" s="1066"/>
      <c r="E19" s="483"/>
      <c r="F19" s="483"/>
      <c r="G19" s="483"/>
      <c r="H19" s="427"/>
    </row>
    <row r="20" spans="1:8" ht="15.75">
      <c r="A20" s="832" t="s">
        <v>238</v>
      </c>
      <c r="B20" s="833" t="s">
        <v>499</v>
      </c>
      <c r="C20" s="834" t="s">
        <v>778</v>
      </c>
      <c r="E20" s="483"/>
      <c r="F20" s="483"/>
      <c r="G20" s="483"/>
      <c r="H20" s="427"/>
    </row>
    <row r="21" spans="1:8" ht="15.75">
      <c r="A21" s="832" t="s">
        <v>240</v>
      </c>
      <c r="B21" s="1065" t="s">
        <v>768</v>
      </c>
      <c r="C21" s="1066"/>
      <c r="E21" s="483"/>
      <c r="F21" s="483"/>
      <c r="G21" s="483"/>
      <c r="H21" s="427"/>
    </row>
    <row r="22" spans="1:8" ht="15.75" hidden="1">
      <c r="A22" s="832" t="s">
        <v>242</v>
      </c>
      <c r="B22" s="837" t="s">
        <v>501</v>
      </c>
      <c r="C22" s="834"/>
      <c r="E22" s="483"/>
      <c r="F22" s="483"/>
      <c r="G22" s="483"/>
      <c r="H22" s="427"/>
    </row>
    <row r="23" spans="1:8" ht="15.75">
      <c r="A23" s="832" t="s">
        <v>244</v>
      </c>
      <c r="B23" s="837" t="s">
        <v>503</v>
      </c>
      <c r="C23" s="834" t="s">
        <v>767</v>
      </c>
      <c r="E23" s="483"/>
      <c r="F23" s="483"/>
      <c r="G23" s="483"/>
      <c r="H23" s="427"/>
    </row>
    <row r="24" spans="1:8" ht="15.75" hidden="1">
      <c r="A24" s="832" t="s">
        <v>334</v>
      </c>
      <c r="B24" s="833" t="s">
        <v>505</v>
      </c>
      <c r="C24" s="834"/>
      <c r="E24" s="483"/>
      <c r="F24" s="483"/>
      <c r="G24" s="483"/>
      <c r="H24" s="427"/>
    </row>
    <row r="25" spans="1:8" ht="15.75">
      <c r="A25" s="832">
        <v>3</v>
      </c>
      <c r="B25" s="1058" t="s">
        <v>770</v>
      </c>
      <c r="C25" s="1059"/>
      <c r="E25" s="483"/>
      <c r="F25" s="483"/>
      <c r="G25" s="483"/>
      <c r="H25" s="427"/>
    </row>
    <row r="26" spans="1:8" ht="31.5">
      <c r="A26" s="832" t="s">
        <v>365</v>
      </c>
      <c r="B26" s="833" t="s">
        <v>507</v>
      </c>
      <c r="C26" s="834" t="s">
        <v>778</v>
      </c>
      <c r="E26" s="483"/>
      <c r="F26" s="483"/>
      <c r="G26" s="483"/>
      <c r="H26" s="427"/>
    </row>
    <row r="27" spans="1:8" ht="31.5" hidden="1">
      <c r="A27" s="832" t="s">
        <v>366</v>
      </c>
      <c r="B27" s="833" t="s">
        <v>509</v>
      </c>
      <c r="C27" s="834"/>
      <c r="E27" s="483"/>
      <c r="F27" s="483"/>
      <c r="G27" s="483"/>
      <c r="H27" s="427"/>
    </row>
    <row r="28" spans="1:8" ht="15.75" hidden="1">
      <c r="A28" s="832" t="s">
        <v>367</v>
      </c>
      <c r="B28" s="833" t="s">
        <v>511</v>
      </c>
      <c r="C28" s="834"/>
      <c r="E28" s="483"/>
      <c r="F28" s="483"/>
      <c r="G28" s="483"/>
      <c r="H28" s="427"/>
    </row>
    <row r="29" spans="1:8" ht="15.75">
      <c r="A29" s="832">
        <v>4</v>
      </c>
      <c r="B29" s="1058" t="s">
        <v>771</v>
      </c>
      <c r="C29" s="1059"/>
      <c r="E29" s="483"/>
      <c r="F29" s="483"/>
      <c r="G29" s="483"/>
      <c r="H29" s="427"/>
    </row>
    <row r="30" spans="1:8" ht="15.75">
      <c r="A30" s="832" t="s">
        <v>245</v>
      </c>
      <c r="B30" s="833" t="s">
        <v>513</v>
      </c>
      <c r="C30" s="834" t="s">
        <v>767</v>
      </c>
      <c r="E30" s="483"/>
      <c r="F30" s="483"/>
      <c r="G30" s="483"/>
      <c r="H30" s="427"/>
    </row>
    <row r="31" spans="1:8" ht="15" customHeight="1">
      <c r="A31" s="832" t="s">
        <v>305</v>
      </c>
      <c r="B31" s="833" t="s">
        <v>515</v>
      </c>
      <c r="C31" s="834" t="s">
        <v>767</v>
      </c>
      <c r="E31" s="483"/>
      <c r="F31" s="483"/>
      <c r="G31" s="483"/>
      <c r="H31" s="427"/>
    </row>
    <row r="32" spans="1:8" ht="15" customHeight="1" hidden="1">
      <c r="A32" s="832" t="s">
        <v>772</v>
      </c>
      <c r="B32" s="833" t="s">
        <v>517</v>
      </c>
      <c r="C32" s="834"/>
      <c r="E32" s="483"/>
      <c r="F32" s="483"/>
      <c r="G32" s="483"/>
      <c r="H32" s="427"/>
    </row>
    <row r="33" spans="1:8" ht="15.75">
      <c r="A33" s="832">
        <v>6</v>
      </c>
      <c r="B33" s="1058" t="s">
        <v>773</v>
      </c>
      <c r="C33" s="1059"/>
      <c r="E33" s="483"/>
      <c r="F33" s="483"/>
      <c r="G33" s="483"/>
      <c r="H33" s="427"/>
    </row>
    <row r="34" spans="1:8" ht="31.5">
      <c r="A34" s="832" t="s">
        <v>774</v>
      </c>
      <c r="B34" s="833" t="s">
        <v>519</v>
      </c>
      <c r="C34" s="834" t="s">
        <v>767</v>
      </c>
      <c r="E34" s="483"/>
      <c r="F34" s="483"/>
      <c r="G34" s="483"/>
      <c r="H34" s="427"/>
    </row>
    <row r="35" spans="1:8" ht="15.75">
      <c r="A35" s="832" t="s">
        <v>775</v>
      </c>
      <c r="B35" s="833" t="s">
        <v>521</v>
      </c>
      <c r="C35" s="834" t="s">
        <v>767</v>
      </c>
      <c r="E35" s="483"/>
      <c r="F35" s="483"/>
      <c r="G35" s="483"/>
      <c r="H35" s="427"/>
    </row>
    <row r="36" spans="1:8" ht="46.5" customHeight="1" thickBot="1">
      <c r="A36" s="313" t="s">
        <v>776</v>
      </c>
      <c r="B36" s="835" t="s">
        <v>777</v>
      </c>
      <c r="C36" s="834" t="s">
        <v>778</v>
      </c>
      <c r="E36" s="483"/>
      <c r="F36" s="483"/>
      <c r="G36" s="483"/>
      <c r="H36" s="427"/>
    </row>
    <row r="39" spans="1:3" ht="15.75">
      <c r="A39" s="1060" t="str">
        <f>'11.2 (ТП-1 Хаилино)'!A36:C36</f>
        <v>Начальник ПТО                                                                      С. А. Апекин</v>
      </c>
      <c r="B39" s="1060"/>
      <c r="C39" s="1060"/>
    </row>
    <row r="41" spans="1:3" ht="15.75">
      <c r="A41" s="427"/>
      <c r="B41" s="427"/>
      <c r="C41" s="427"/>
    </row>
    <row r="42" spans="1:3" ht="15.75">
      <c r="A42" s="427"/>
      <c r="B42" s="427"/>
      <c r="C42" s="427"/>
    </row>
    <row r="43" spans="1:3" ht="15.75">
      <c r="A43" s="427"/>
      <c r="B43" s="427"/>
      <c r="C43" s="427"/>
    </row>
    <row r="44" spans="1:3" ht="15.75">
      <c r="A44" s="427"/>
      <c r="B44" s="427"/>
      <c r="C44" s="427"/>
    </row>
    <row r="45" spans="1:3" ht="15.75">
      <c r="A45" s="427"/>
      <c r="B45" s="427"/>
      <c r="C45" s="427"/>
    </row>
    <row r="46" spans="1:3" ht="15.75">
      <c r="A46" s="427"/>
      <c r="B46" s="427"/>
      <c r="C46" s="427"/>
    </row>
    <row r="47" spans="1:3" ht="15.75">
      <c r="A47" s="427"/>
      <c r="B47" s="427"/>
      <c r="C47" s="427"/>
    </row>
    <row r="48" spans="1:3" ht="15.75">
      <c r="A48" s="427"/>
      <c r="B48" s="427"/>
      <c r="C48" s="427"/>
    </row>
    <row r="49" spans="1:3" ht="15.75">
      <c r="A49" s="427"/>
      <c r="B49" s="427"/>
      <c r="C49" s="427"/>
    </row>
    <row r="50" spans="1:3" ht="15.75">
      <c r="A50" s="427"/>
      <c r="B50" s="427"/>
      <c r="C50" s="427"/>
    </row>
    <row r="51" spans="1:3" ht="15.75">
      <c r="A51" s="427"/>
      <c r="B51" s="427"/>
      <c r="C51" s="427"/>
    </row>
    <row r="52" spans="1:3" ht="15.75">
      <c r="A52" s="427"/>
      <c r="B52" s="427"/>
      <c r="C52" s="427"/>
    </row>
    <row r="53" spans="1:3" ht="15.75">
      <c r="A53" s="427"/>
      <c r="B53" s="427"/>
      <c r="C53" s="427"/>
    </row>
    <row r="54" spans="1:3" ht="15.75">
      <c r="A54" s="427"/>
      <c r="B54" s="427"/>
      <c r="C54" s="427"/>
    </row>
    <row r="55" spans="1:3" ht="15.75">
      <c r="A55" s="427"/>
      <c r="B55" s="427"/>
      <c r="C55" s="427"/>
    </row>
    <row r="56" spans="1:3" ht="15.75">
      <c r="A56" s="427"/>
      <c r="B56" s="427"/>
      <c r="C56" s="427"/>
    </row>
    <row r="57" spans="1:3" ht="15.75">
      <c r="A57" s="427"/>
      <c r="B57" s="427"/>
      <c r="C57" s="427"/>
    </row>
    <row r="58" spans="1:3" ht="15.75">
      <c r="A58" s="427"/>
      <c r="B58" s="427"/>
      <c r="C58" s="427"/>
    </row>
    <row r="59" spans="1:3" ht="15.75">
      <c r="A59" s="427"/>
      <c r="B59" s="427"/>
      <c r="C59" s="427"/>
    </row>
    <row r="60" spans="1:3" ht="15.75">
      <c r="A60" s="427"/>
      <c r="B60" s="427"/>
      <c r="C60" s="427"/>
    </row>
    <row r="61" spans="1:3" ht="15.75">
      <c r="A61" s="427"/>
      <c r="B61" s="427"/>
      <c r="C61" s="427"/>
    </row>
    <row r="62" spans="1:3" ht="15.75">
      <c r="A62" s="427"/>
      <c r="B62" s="427"/>
      <c r="C62" s="427"/>
    </row>
    <row r="63" spans="1:3" ht="15.75">
      <c r="A63" s="427"/>
      <c r="B63" s="427"/>
      <c r="C63" s="427"/>
    </row>
    <row r="64" spans="1:3" ht="15.75">
      <c r="A64" s="427"/>
      <c r="B64" s="427"/>
      <c r="C64" s="427"/>
    </row>
  </sheetData>
  <sheetProtection/>
  <mergeCells count="9">
    <mergeCell ref="B29:C29"/>
    <mergeCell ref="B33:C33"/>
    <mergeCell ref="A39:C39"/>
    <mergeCell ref="A12:C12"/>
    <mergeCell ref="A13:C13"/>
    <mergeCell ref="B16:C16"/>
    <mergeCell ref="B19:C19"/>
    <mergeCell ref="B21:C21"/>
    <mergeCell ref="B25:C25"/>
  </mergeCells>
  <printOptions/>
  <pageMargins left="0.7" right="0.2" top="0.35" bottom="0.36" header="0.3" footer="0.3"/>
  <pageSetup fitToHeight="2" fitToWidth="1"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L58"/>
  <sheetViews>
    <sheetView view="pageBreakPreview" zoomScale="75" zoomScaleNormal="85" zoomScaleSheetLayoutView="75" zoomScalePageLayoutView="0" workbookViewId="0" topLeftCell="A7">
      <selection activeCell="F24" sqref="F24"/>
    </sheetView>
  </sheetViews>
  <sheetFormatPr defaultColWidth="9.00390625" defaultRowHeight="15.75" outlineLevelRow="1"/>
  <cols>
    <col min="1" max="1" width="54.125" style="108" bestFit="1" customWidth="1"/>
    <col min="2" max="2" width="25.50390625" style="108" customWidth="1"/>
    <col min="3" max="3" width="21.625" style="108" customWidth="1"/>
    <col min="4" max="8" width="9.00390625" style="108" customWidth="1"/>
    <col min="9" max="9" width="25.75390625" style="108" customWidth="1"/>
    <col min="10" max="14" width="9.00390625" style="108" customWidth="1"/>
    <col min="15" max="16384" width="9.00390625" style="108" customWidth="1"/>
  </cols>
  <sheetData>
    <row r="1" ht="15.75" outlineLevel="1">
      <c r="C1" s="195" t="s">
        <v>55</v>
      </c>
    </row>
    <row r="2" ht="15.75" outlineLevel="1">
      <c r="C2" s="195" t="s">
        <v>37</v>
      </c>
    </row>
    <row r="3" ht="15.75" outlineLevel="1">
      <c r="C3" s="289" t="s">
        <v>379</v>
      </c>
    </row>
    <row r="4" ht="15.75" outlineLevel="1">
      <c r="C4" s="109"/>
    </row>
    <row r="5" ht="15.75" outlineLevel="1">
      <c r="C5" s="2" t="s">
        <v>38</v>
      </c>
    </row>
    <row r="6" ht="15.75" outlineLevel="1">
      <c r="C6" s="2" t="s">
        <v>647</v>
      </c>
    </row>
    <row r="7" ht="15.75" outlineLevel="1">
      <c r="C7" s="2"/>
    </row>
    <row r="8" ht="15.75" outlineLevel="1">
      <c r="C8" s="2" t="s">
        <v>648</v>
      </c>
    </row>
    <row r="9" ht="15.75" outlineLevel="1">
      <c r="C9" s="2" t="s">
        <v>795</v>
      </c>
    </row>
    <row r="10" ht="15.75" outlineLevel="1">
      <c r="C10" s="2" t="s">
        <v>42</v>
      </c>
    </row>
    <row r="11" ht="15.75">
      <c r="C11" s="2"/>
    </row>
    <row r="12" spans="1:246" ht="34.5" customHeight="1">
      <c r="A12" s="932" t="s">
        <v>158</v>
      </c>
      <c r="B12" s="913"/>
      <c r="C12" s="913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</row>
    <row r="13" spans="1:246" ht="17.25">
      <c r="A13" s="1"/>
      <c r="B13" s="1"/>
      <c r="C13" s="1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10"/>
      <c r="HP13" s="110"/>
      <c r="HQ13" s="110"/>
      <c r="HR13" s="110"/>
      <c r="HS13" s="110"/>
      <c r="HT13" s="110"/>
      <c r="HU13" s="110"/>
      <c r="HV13" s="110"/>
      <c r="HW13" s="110"/>
      <c r="HX13" s="110"/>
      <c r="HY13" s="110"/>
      <c r="HZ13" s="110"/>
      <c r="IA13" s="110"/>
      <c r="IB13" s="110"/>
      <c r="IC13" s="110"/>
      <c r="ID13" s="110"/>
      <c r="IE13" s="110"/>
      <c r="IF13" s="110"/>
      <c r="IG13" s="110"/>
      <c r="IH13" s="110"/>
      <c r="II13" s="110"/>
      <c r="IJ13" s="110"/>
      <c r="IK13" s="110"/>
      <c r="IL13" s="110"/>
    </row>
    <row r="14" spans="1:3" ht="15.75">
      <c r="A14" s="998" t="s">
        <v>793</v>
      </c>
      <c r="B14" s="998"/>
      <c r="C14" s="998"/>
    </row>
    <row r="15" spans="2:3" ht="23.25" customHeight="1">
      <c r="B15" s="111"/>
      <c r="C15" s="2" t="s">
        <v>320</v>
      </c>
    </row>
    <row r="16" spans="1:3" ht="15.75">
      <c r="A16" s="112" t="s">
        <v>74</v>
      </c>
      <c r="B16" s="113"/>
      <c r="C16" s="114"/>
    </row>
    <row r="17" spans="1:3" ht="47.25">
      <c r="A17" s="115" t="s">
        <v>75</v>
      </c>
      <c r="B17" s="116" t="s">
        <v>76</v>
      </c>
      <c r="C17" s="117" t="s">
        <v>637</v>
      </c>
    </row>
    <row r="18" spans="1:3" ht="15.75">
      <c r="A18" s="287">
        <v>1</v>
      </c>
      <c r="B18" s="287">
        <v>2</v>
      </c>
      <c r="C18" s="288">
        <v>3</v>
      </c>
    </row>
    <row r="19" spans="1:6" ht="15.75">
      <c r="A19" s="118" t="s">
        <v>77</v>
      </c>
      <c r="B19" s="293" t="s">
        <v>806</v>
      </c>
      <c r="C19" s="293">
        <v>886.229</v>
      </c>
      <c r="E19" s="447"/>
      <c r="F19" s="447"/>
    </row>
    <row r="20" spans="1:6" ht="17.25" customHeight="1">
      <c r="A20" s="118" t="s">
        <v>78</v>
      </c>
      <c r="B20" s="487" t="s">
        <v>816</v>
      </c>
      <c r="C20" s="487" t="s">
        <v>638</v>
      </c>
      <c r="E20" s="447"/>
      <c r="F20" s="447"/>
    </row>
    <row r="21" spans="1:10" ht="15.75">
      <c r="A21" s="118" t="s">
        <v>79</v>
      </c>
      <c r="B21" s="293"/>
      <c r="C21" s="291"/>
      <c r="J21" s="299"/>
    </row>
    <row r="22" spans="1:3" ht="15.75">
      <c r="A22" s="119" t="s">
        <v>80</v>
      </c>
      <c r="B22" s="293"/>
      <c r="C22" s="291"/>
    </row>
    <row r="23" spans="1:3" ht="31.5">
      <c r="A23" s="119" t="s">
        <v>377</v>
      </c>
      <c r="B23" s="293"/>
      <c r="C23" s="291"/>
    </row>
    <row r="24" spans="1:3" ht="15.75">
      <c r="A24" s="118" t="s">
        <v>330</v>
      </c>
      <c r="B24" s="293"/>
      <c r="C24" s="291"/>
    </row>
    <row r="25" spans="1:3" ht="15.75">
      <c r="A25" s="118" t="s">
        <v>81</v>
      </c>
      <c r="B25" s="293"/>
      <c r="C25" s="291"/>
    </row>
    <row r="26" spans="1:10" ht="15.75">
      <c r="A26" s="118" t="s">
        <v>82</v>
      </c>
      <c r="B26" s="293">
        <v>24.294</v>
      </c>
      <c r="C26" s="293">
        <v>25.065</v>
      </c>
      <c r="J26" s="299"/>
    </row>
    <row r="27" spans="1:3" ht="15.75">
      <c r="A27" s="118" t="s">
        <v>83</v>
      </c>
      <c r="B27" s="291"/>
      <c r="C27" s="291"/>
    </row>
    <row r="28" spans="1:6" ht="15.75">
      <c r="A28" s="118" t="s">
        <v>84</v>
      </c>
      <c r="B28" s="293" t="s">
        <v>807</v>
      </c>
      <c r="C28" s="293">
        <v>82.879</v>
      </c>
      <c r="E28" s="458">
        <f>8!D19</f>
        <v>115.29146012121679</v>
      </c>
      <c r="F28" s="458">
        <f>8!L19</f>
        <v>24.705680983807188</v>
      </c>
    </row>
    <row r="29" spans="1:6" ht="31.5">
      <c r="A29" s="118" t="s">
        <v>85</v>
      </c>
      <c r="B29" s="293" t="str">
        <f>B30</f>
        <v>16,109/-9,592</v>
      </c>
      <c r="C29" s="293" t="str">
        <f>C30</f>
        <v>0,052</v>
      </c>
      <c r="E29" s="458">
        <f>8!D36</f>
        <v>16.109083365783224</v>
      </c>
      <c r="F29" s="458">
        <f>8!L36</f>
        <v>-11.338246393807188</v>
      </c>
    </row>
    <row r="30" spans="1:6" ht="15.75">
      <c r="A30" s="119" t="s">
        <v>86</v>
      </c>
      <c r="B30" s="537" t="s">
        <v>817</v>
      </c>
      <c r="C30" s="487" t="s">
        <v>639</v>
      </c>
      <c r="E30" s="447"/>
      <c r="F30" s="447"/>
    </row>
    <row r="31" spans="1:6" ht="15.75">
      <c r="A31" s="119" t="s">
        <v>87</v>
      </c>
      <c r="B31" s="442"/>
      <c r="C31" s="291"/>
      <c r="E31" s="447"/>
      <c r="F31" s="447"/>
    </row>
    <row r="32" spans="1:6" ht="15.75">
      <c r="A32" s="119" t="s">
        <v>88</v>
      </c>
      <c r="B32" s="442"/>
      <c r="C32" s="292"/>
      <c r="E32" s="447"/>
      <c r="F32" s="447"/>
    </row>
    <row r="33" spans="1:6" ht="15.75">
      <c r="A33" s="119" t="s">
        <v>89</v>
      </c>
      <c r="B33" s="442"/>
      <c r="C33" s="292"/>
      <c r="E33" s="447"/>
      <c r="F33" s="447"/>
    </row>
    <row r="34" spans="1:6" ht="15.75">
      <c r="A34" s="118" t="s">
        <v>90</v>
      </c>
      <c r="B34" s="442"/>
      <c r="C34" s="292"/>
      <c r="E34" s="447"/>
      <c r="F34" s="447"/>
    </row>
    <row r="35" spans="1:6" ht="15.75">
      <c r="A35" s="119" t="s">
        <v>91</v>
      </c>
      <c r="B35" s="442"/>
      <c r="C35" s="292"/>
      <c r="E35" s="447"/>
      <c r="F35" s="447"/>
    </row>
    <row r="36" spans="1:6" ht="15.75">
      <c r="A36" s="119" t="s">
        <v>92</v>
      </c>
      <c r="B36" s="442"/>
      <c r="C36" s="292"/>
      <c r="E36" s="447"/>
      <c r="F36" s="447"/>
    </row>
    <row r="37" spans="1:6" ht="15.75">
      <c r="A37" s="120" t="s">
        <v>93</v>
      </c>
      <c r="B37" s="442"/>
      <c r="C37" s="292"/>
      <c r="E37" s="447"/>
      <c r="F37" s="447"/>
    </row>
    <row r="38" spans="1:6" ht="15.75">
      <c r="A38" s="120" t="s">
        <v>94</v>
      </c>
      <c r="B38" s="442"/>
      <c r="C38" s="292"/>
      <c r="E38" s="447"/>
      <c r="F38" s="447"/>
    </row>
    <row r="39" spans="1:6" ht="15.75">
      <c r="A39" s="120" t="s">
        <v>95</v>
      </c>
      <c r="B39" s="442"/>
      <c r="C39" s="292"/>
      <c r="E39" s="447"/>
      <c r="F39" s="447"/>
    </row>
    <row r="40" spans="1:6" ht="31.5">
      <c r="A40" s="118" t="s">
        <v>96</v>
      </c>
      <c r="B40" s="293" t="s">
        <v>818</v>
      </c>
      <c r="C40" s="293">
        <v>8.298</v>
      </c>
      <c r="E40" s="458">
        <f>'7.1'!E51</f>
        <v>1.3070257725574677</v>
      </c>
      <c r="F40" s="458">
        <f>'7.1'!M51</f>
        <v>0</v>
      </c>
    </row>
    <row r="41" spans="1:3" ht="15.75">
      <c r="A41" s="1070" t="s">
        <v>97</v>
      </c>
      <c r="B41" s="1070"/>
      <c r="C41" s="1070"/>
    </row>
    <row r="42" spans="1:6" ht="31.5">
      <c r="A42" s="118" t="s">
        <v>378</v>
      </c>
      <c r="B42" s="1078">
        <v>131.52331012</v>
      </c>
      <c r="C42" s="1079"/>
      <c r="E42" s="847"/>
      <c r="F42" s="844"/>
    </row>
    <row r="43" spans="1:9" ht="15.75">
      <c r="A43" s="118" t="s">
        <v>98</v>
      </c>
      <c r="B43" s="1080">
        <f>'7.1'!E17</f>
        <v>131.400543487</v>
      </c>
      <c r="C43" s="1081"/>
      <c r="E43" s="845"/>
      <c r="F43" s="844"/>
      <c r="H43" s="448"/>
      <c r="I43" s="447"/>
    </row>
    <row r="44" spans="1:9" ht="15.75">
      <c r="A44" s="118" t="s">
        <v>99</v>
      </c>
      <c r="B44" s="1076">
        <f>8!D19</f>
        <v>115.29146012121679</v>
      </c>
      <c r="C44" s="1077"/>
      <c r="E44" s="845"/>
      <c r="F44" s="846"/>
      <c r="G44" s="447"/>
      <c r="H44" s="448"/>
      <c r="I44" s="447"/>
    </row>
    <row r="45" spans="1:10" ht="15.75">
      <c r="A45" s="118" t="s">
        <v>100</v>
      </c>
      <c r="B45" s="1068">
        <f>B42-B44</f>
        <v>16.231849998783204</v>
      </c>
      <c r="C45" s="1069"/>
      <c r="E45" s="1075"/>
      <c r="F45" s="1075"/>
      <c r="G45" s="447"/>
      <c r="H45" s="536"/>
      <c r="I45" s="486"/>
      <c r="J45" s="299"/>
    </row>
    <row r="46" spans="1:5" ht="15.75">
      <c r="A46" s="1070" t="s">
        <v>101</v>
      </c>
      <c r="B46" s="1070"/>
      <c r="C46" s="1070"/>
      <c r="E46" s="448"/>
    </row>
    <row r="47" spans="1:8" ht="15.75">
      <c r="A47" s="121" t="s">
        <v>102</v>
      </c>
      <c r="B47" s="1071"/>
      <c r="C47" s="1071"/>
      <c r="E47" s="440"/>
      <c r="F47" s="440"/>
      <c r="H47" s="440"/>
    </row>
    <row r="48" spans="1:3" ht="15.75">
      <c r="A48" s="298" t="s">
        <v>394</v>
      </c>
      <c r="B48" s="1071"/>
      <c r="C48" s="1071"/>
    </row>
    <row r="49" spans="1:8" ht="15.75">
      <c r="A49" s="298" t="s">
        <v>395</v>
      </c>
      <c r="B49" s="1072">
        <v>1</v>
      </c>
      <c r="C49" s="1072"/>
      <c r="H49" s="440"/>
    </row>
    <row r="50" spans="1:3" ht="48" customHeight="1">
      <c r="A50" s="122" t="s">
        <v>103</v>
      </c>
      <c r="B50" s="1073" t="s">
        <v>604</v>
      </c>
      <c r="C50" s="1074"/>
    </row>
    <row r="51" spans="1:2" ht="15.75">
      <c r="A51" s="123"/>
      <c r="B51" s="123"/>
    </row>
    <row r="52" spans="1:3" ht="15.75">
      <c r="A52" s="1067" t="s">
        <v>104</v>
      </c>
      <c r="B52" s="1067"/>
      <c r="C52" s="1067"/>
    </row>
    <row r="53" spans="1:3" ht="15.75">
      <c r="A53" s="290"/>
      <c r="B53" s="290"/>
      <c r="C53" s="290"/>
    </row>
    <row r="55" spans="1:3" ht="15.75">
      <c r="A55" s="998" t="s">
        <v>586</v>
      </c>
      <c r="B55" s="998"/>
      <c r="C55" s="998"/>
    </row>
    <row r="56" spans="1:3" ht="15.75">
      <c r="A56" s="484"/>
      <c r="B56" s="484"/>
      <c r="C56" s="484"/>
    </row>
    <row r="57" ht="15.75">
      <c r="H57" s="458"/>
    </row>
    <row r="58" ht="15.75">
      <c r="H58" s="448"/>
    </row>
  </sheetData>
  <sheetProtection/>
  <mergeCells count="15">
    <mergeCell ref="E45:F45"/>
    <mergeCell ref="B44:C44"/>
    <mergeCell ref="A12:C12"/>
    <mergeCell ref="A14:C14"/>
    <mergeCell ref="A41:C41"/>
    <mergeCell ref="B42:C42"/>
    <mergeCell ref="B43:C43"/>
    <mergeCell ref="A55:C55"/>
    <mergeCell ref="A52:C52"/>
    <mergeCell ref="B45:C45"/>
    <mergeCell ref="A46:C46"/>
    <mergeCell ref="B47:C47"/>
    <mergeCell ref="B48:C48"/>
    <mergeCell ref="B49:C49"/>
    <mergeCell ref="B50:C50"/>
  </mergeCells>
  <printOptions/>
  <pageMargins left="0.7" right="0.2" top="0.54" bottom="0.35" header="0.3" footer="0.3"/>
  <pageSetup fitToHeight="1" fitToWidth="1" horizontalDpi="600" verticalDpi="600" orientation="portrait" paperSize="9" scale="82" r:id="rId3"/>
  <legacyDrawing r:id="rId2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57"/>
  <sheetViews>
    <sheetView view="pageBreakPreview" zoomScale="75" zoomScaleNormal="80" zoomScaleSheetLayoutView="75" zoomScalePageLayoutView="0" workbookViewId="0" topLeftCell="A7">
      <pane xSplit="2" topLeftCell="C1" activePane="topRight" state="frozen"/>
      <selection pane="topLeft" activeCell="AL5" sqref="AL5"/>
      <selection pane="topRight" activeCell="N19" sqref="N19"/>
    </sheetView>
  </sheetViews>
  <sheetFormatPr defaultColWidth="9.00390625" defaultRowHeight="15.75"/>
  <cols>
    <col min="1" max="1" width="8.875" style="337" bestFit="1" customWidth="1"/>
    <col min="2" max="2" width="46.625" style="338" customWidth="1"/>
    <col min="3" max="4" width="11.00390625" style="338" bestFit="1" customWidth="1"/>
    <col min="5" max="5" width="8.125" style="338" bestFit="1" customWidth="1"/>
    <col min="6" max="6" width="14.00390625" style="338" bestFit="1" customWidth="1"/>
    <col min="7" max="7" width="13.375" style="338" bestFit="1" customWidth="1"/>
    <col min="8" max="8" width="16.125" style="338" bestFit="1" customWidth="1"/>
    <col min="9" max="9" width="11.75390625" style="338" bestFit="1" customWidth="1"/>
    <col min="10" max="10" width="16.875" style="338" customWidth="1"/>
    <col min="11" max="11" width="13.25390625" style="338" customWidth="1"/>
    <col min="12" max="21" width="9.00390625" style="337" customWidth="1"/>
    <col min="22" max="16384" width="9.00390625" style="337" customWidth="1"/>
  </cols>
  <sheetData>
    <row r="1" ht="15">
      <c r="K1" s="195" t="s">
        <v>531</v>
      </c>
    </row>
    <row r="2" ht="15">
      <c r="K2" s="195" t="s">
        <v>37</v>
      </c>
    </row>
    <row r="3" ht="15">
      <c r="K3" s="289" t="s">
        <v>379</v>
      </c>
    </row>
    <row r="4" ht="15.75">
      <c r="K4" s="109"/>
    </row>
    <row r="5" ht="15.75">
      <c r="K5" s="2" t="s">
        <v>38</v>
      </c>
    </row>
    <row r="6" ht="15.75">
      <c r="K6" s="2" t="s">
        <v>647</v>
      </c>
    </row>
    <row r="7" ht="15.75">
      <c r="K7" s="2"/>
    </row>
    <row r="8" ht="15.75">
      <c r="K8" s="2" t="s">
        <v>648</v>
      </c>
    </row>
    <row r="9" ht="15.75">
      <c r="K9" s="2" t="s">
        <v>795</v>
      </c>
    </row>
    <row r="10" ht="15.75">
      <c r="K10" s="2" t="s">
        <v>42</v>
      </c>
    </row>
    <row r="11" spans="1:11" ht="33.75" customHeight="1">
      <c r="A11" s="1084" t="s">
        <v>794</v>
      </c>
      <c r="B11" s="1085"/>
      <c r="C11" s="1085"/>
      <c r="D11" s="1085"/>
      <c r="E11" s="1085"/>
      <c r="F11" s="1085"/>
      <c r="G11" s="1085"/>
      <c r="H11" s="1085"/>
      <c r="I11" s="1085"/>
      <c r="J11" s="1085"/>
      <c r="K11" s="1085"/>
    </row>
    <row r="12" spans="1:11" ht="33.75" customHeight="1">
      <c r="A12" s="1086" t="s">
        <v>651</v>
      </c>
      <c r="B12" s="1086"/>
      <c r="C12" s="1086"/>
      <c r="D12" s="1086"/>
      <c r="E12" s="1086"/>
      <c r="F12" s="1086"/>
      <c r="G12" s="1086"/>
      <c r="H12" s="1086"/>
      <c r="I12" s="1086"/>
      <c r="J12" s="1086"/>
      <c r="K12" s="1086"/>
    </row>
    <row r="14" spans="1:11" s="338" customFormat="1" ht="84.75" customHeight="1">
      <c r="A14" s="1083" t="s">
        <v>532</v>
      </c>
      <c r="B14" s="1083" t="s">
        <v>533</v>
      </c>
      <c r="C14" s="1083" t="s">
        <v>534</v>
      </c>
      <c r="D14" s="1083"/>
      <c r="E14" s="1083"/>
      <c r="F14" s="1083" t="s">
        <v>535</v>
      </c>
      <c r="G14" s="1083"/>
      <c r="H14" s="1083" t="s">
        <v>536</v>
      </c>
      <c r="I14" s="1083"/>
      <c r="J14" s="1083"/>
      <c r="K14" s="1083"/>
    </row>
    <row r="15" spans="1:11" s="338" customFormat="1" ht="39.75" customHeight="1">
      <c r="A15" s="1087"/>
      <c r="B15" s="1083"/>
      <c r="C15" s="1083" t="s">
        <v>537</v>
      </c>
      <c r="D15" s="1083" t="s">
        <v>538</v>
      </c>
      <c r="E15" s="1083" t="s">
        <v>539</v>
      </c>
      <c r="F15" s="1083" t="s">
        <v>540</v>
      </c>
      <c r="G15" s="1083" t="s">
        <v>541</v>
      </c>
      <c r="H15" s="1083" t="s">
        <v>542</v>
      </c>
      <c r="I15" s="1083" t="s">
        <v>543</v>
      </c>
      <c r="J15" s="1083" t="s">
        <v>544</v>
      </c>
      <c r="K15" s="1083" t="s">
        <v>545</v>
      </c>
    </row>
    <row r="16" spans="1:11" ht="63.75" customHeight="1">
      <c r="A16" s="1087"/>
      <c r="B16" s="1083"/>
      <c r="C16" s="1083"/>
      <c r="D16" s="1083"/>
      <c r="E16" s="1083"/>
      <c r="F16" s="1083"/>
      <c r="G16" s="1083"/>
      <c r="H16" s="1083"/>
      <c r="I16" s="1083"/>
      <c r="J16" s="1083"/>
      <c r="K16" s="1083"/>
    </row>
    <row r="17" spans="1:12" ht="30">
      <c r="A17" s="430">
        <v>1</v>
      </c>
      <c r="B17" s="534" t="s">
        <v>662</v>
      </c>
      <c r="C17" s="535" t="s">
        <v>589</v>
      </c>
      <c r="D17" s="842">
        <v>5.693</v>
      </c>
      <c r="E17" s="535"/>
      <c r="F17" s="535">
        <v>2015</v>
      </c>
      <c r="G17" s="535">
        <v>2018</v>
      </c>
      <c r="H17" s="535" t="s">
        <v>630</v>
      </c>
      <c r="I17" s="535" t="s">
        <v>784</v>
      </c>
      <c r="J17" s="535" t="s">
        <v>784</v>
      </c>
      <c r="K17" s="535" t="s">
        <v>784</v>
      </c>
      <c r="L17" s="347"/>
    </row>
    <row r="18" spans="1:12" ht="18.75">
      <c r="A18" s="430">
        <v>2</v>
      </c>
      <c r="B18" s="534" t="s">
        <v>617</v>
      </c>
      <c r="C18" s="535" t="s">
        <v>722</v>
      </c>
      <c r="D18" s="842">
        <v>0.171174</v>
      </c>
      <c r="E18" s="535"/>
      <c r="F18" s="535">
        <v>2016</v>
      </c>
      <c r="G18" s="535">
        <v>2016</v>
      </c>
      <c r="H18" s="535" t="s">
        <v>784</v>
      </c>
      <c r="I18" s="535" t="s">
        <v>784</v>
      </c>
      <c r="J18" s="535" t="s">
        <v>784</v>
      </c>
      <c r="K18" s="535" t="s">
        <v>784</v>
      </c>
      <c r="L18" s="347"/>
    </row>
    <row r="19" spans="1:11" ht="60">
      <c r="A19" s="430">
        <v>3</v>
      </c>
      <c r="B19" s="534" t="s">
        <v>665</v>
      </c>
      <c r="C19" s="430" t="s">
        <v>786</v>
      </c>
      <c r="D19" s="441">
        <v>0</v>
      </c>
      <c r="E19" s="430"/>
      <c r="F19" s="430">
        <v>2016</v>
      </c>
      <c r="G19" s="430">
        <v>2017</v>
      </c>
      <c r="H19" s="430" t="s">
        <v>784</v>
      </c>
      <c r="I19" s="430" t="s">
        <v>784</v>
      </c>
      <c r="J19" s="430" t="s">
        <v>784</v>
      </c>
      <c r="K19" s="430" t="s">
        <v>784</v>
      </c>
    </row>
    <row r="20" spans="1:11" ht="15">
      <c r="A20" s="430">
        <v>4</v>
      </c>
      <c r="B20" s="534" t="s">
        <v>649</v>
      </c>
      <c r="C20" s="430" t="s">
        <v>629</v>
      </c>
      <c r="D20" s="441">
        <v>0.997361</v>
      </c>
      <c r="E20" s="430"/>
      <c r="F20" s="430">
        <v>2015</v>
      </c>
      <c r="G20" s="430">
        <v>2016</v>
      </c>
      <c r="H20" s="430" t="s">
        <v>784</v>
      </c>
      <c r="I20" s="430" t="s">
        <v>784</v>
      </c>
      <c r="J20" s="430" t="s">
        <v>784</v>
      </c>
      <c r="K20" s="430" t="s">
        <v>784</v>
      </c>
    </row>
    <row r="21" spans="1:11" ht="30">
      <c r="A21" s="430">
        <v>5</v>
      </c>
      <c r="B21" s="534" t="s">
        <v>663</v>
      </c>
      <c r="C21" s="430" t="s">
        <v>629</v>
      </c>
      <c r="D21" s="441">
        <v>1.518</v>
      </c>
      <c r="E21" s="430"/>
      <c r="F21" s="430">
        <v>2016</v>
      </c>
      <c r="G21" s="430">
        <v>2016</v>
      </c>
      <c r="H21" s="430" t="s">
        <v>784</v>
      </c>
      <c r="I21" s="430" t="s">
        <v>784</v>
      </c>
      <c r="J21" s="430" t="s">
        <v>784</v>
      </c>
      <c r="K21" s="430" t="s">
        <v>784</v>
      </c>
    </row>
    <row r="22" spans="1:11" ht="45">
      <c r="A22" s="430">
        <v>6</v>
      </c>
      <c r="B22" s="534" t="s">
        <v>664</v>
      </c>
      <c r="C22" s="430" t="s">
        <v>724</v>
      </c>
      <c r="D22" s="441">
        <v>1.518</v>
      </c>
      <c r="E22" s="430"/>
      <c r="F22" s="430">
        <v>2016</v>
      </c>
      <c r="G22" s="430">
        <v>2016</v>
      </c>
      <c r="H22" s="430" t="s">
        <v>784</v>
      </c>
      <c r="I22" s="430" t="s">
        <v>784</v>
      </c>
      <c r="J22" s="430" t="s">
        <v>784</v>
      </c>
      <c r="K22" s="430" t="s">
        <v>784</v>
      </c>
    </row>
    <row r="23" spans="1:11" ht="45" customHeight="1">
      <c r="A23" s="430">
        <v>7</v>
      </c>
      <c r="B23" s="534" t="s">
        <v>384</v>
      </c>
      <c r="C23" s="430" t="s">
        <v>587</v>
      </c>
      <c r="D23" s="441">
        <v>7.565</v>
      </c>
      <c r="E23" s="430"/>
      <c r="F23" s="430">
        <v>2014</v>
      </c>
      <c r="G23" s="430">
        <v>2018</v>
      </c>
      <c r="H23" s="430" t="s">
        <v>785</v>
      </c>
      <c r="I23" s="430" t="s">
        <v>784</v>
      </c>
      <c r="J23" s="430" t="s">
        <v>785</v>
      </c>
      <c r="K23" s="430" t="s">
        <v>785</v>
      </c>
    </row>
    <row r="24" spans="1:11" ht="15">
      <c r="A24" s="430">
        <v>8</v>
      </c>
      <c r="B24" s="534" t="s">
        <v>484</v>
      </c>
      <c r="C24" s="430" t="s">
        <v>725</v>
      </c>
      <c r="D24" s="441">
        <v>0</v>
      </c>
      <c r="E24" s="430"/>
      <c r="F24" s="430">
        <v>2014</v>
      </c>
      <c r="G24" s="430">
        <v>2019</v>
      </c>
      <c r="H24" s="430" t="s">
        <v>630</v>
      </c>
      <c r="I24" s="430" t="s">
        <v>784</v>
      </c>
      <c r="J24" s="430" t="s">
        <v>785</v>
      </c>
      <c r="K24" s="430" t="s">
        <v>630</v>
      </c>
    </row>
    <row r="25" spans="1:11" ht="30">
      <c r="A25" s="430">
        <v>9</v>
      </c>
      <c r="B25" s="534" t="s">
        <v>690</v>
      </c>
      <c r="C25" s="430" t="s">
        <v>726</v>
      </c>
      <c r="D25" s="441">
        <v>0</v>
      </c>
      <c r="E25" s="430"/>
      <c r="F25" s="430">
        <v>2014</v>
      </c>
      <c r="G25" s="430">
        <v>2019</v>
      </c>
      <c r="H25" s="430" t="s">
        <v>630</v>
      </c>
      <c r="I25" s="430" t="s">
        <v>784</v>
      </c>
      <c r="J25" s="430" t="s">
        <v>630</v>
      </c>
      <c r="K25" s="430" t="s">
        <v>630</v>
      </c>
    </row>
    <row r="26" spans="1:11" ht="30">
      <c r="A26" s="430">
        <v>10</v>
      </c>
      <c r="B26" s="534" t="s">
        <v>685</v>
      </c>
      <c r="C26" s="430" t="s">
        <v>727</v>
      </c>
      <c r="D26" s="441">
        <v>0</v>
      </c>
      <c r="E26" s="430"/>
      <c r="F26" s="430">
        <v>2016</v>
      </c>
      <c r="G26" s="430">
        <v>2019</v>
      </c>
      <c r="H26" s="430" t="s">
        <v>784</v>
      </c>
      <c r="I26" s="430" t="s">
        <v>784</v>
      </c>
      <c r="J26" s="430" t="s">
        <v>784</v>
      </c>
      <c r="K26" s="430" t="s">
        <v>784</v>
      </c>
    </row>
    <row r="27" spans="1:11" ht="15">
      <c r="A27" s="430">
        <v>11</v>
      </c>
      <c r="B27" s="534" t="s">
        <v>393</v>
      </c>
      <c r="C27" s="430" t="s">
        <v>819</v>
      </c>
      <c r="D27" s="441">
        <v>0</v>
      </c>
      <c r="E27" s="841"/>
      <c r="F27" s="430">
        <v>2014</v>
      </c>
      <c r="G27" s="430">
        <v>2015</v>
      </c>
      <c r="H27" s="430" t="s">
        <v>784</v>
      </c>
      <c r="I27" s="430" t="s">
        <v>784</v>
      </c>
      <c r="J27" s="430" t="s">
        <v>785</v>
      </c>
      <c r="K27" s="430" t="s">
        <v>784</v>
      </c>
    </row>
    <row r="29" spans="2:10" ht="15">
      <c r="B29" s="1082" t="s">
        <v>782</v>
      </c>
      <c r="C29" s="1082"/>
      <c r="D29" s="1082"/>
      <c r="E29" s="1082"/>
      <c r="F29" s="1082"/>
      <c r="G29" s="1082"/>
      <c r="H29" s="1082"/>
      <c r="I29" s="1082"/>
      <c r="J29" s="1082"/>
    </row>
    <row r="32" spans="1:11" ht="15">
      <c r="A32" s="427"/>
      <c r="B32" s="427"/>
      <c r="C32" s="427"/>
      <c r="D32" s="427"/>
      <c r="E32" s="427"/>
      <c r="F32" s="427"/>
      <c r="G32" s="427"/>
      <c r="H32" s="427"/>
      <c r="I32" s="427"/>
      <c r="J32" s="427"/>
      <c r="K32" s="427"/>
    </row>
    <row r="33" spans="1:11" ht="15">
      <c r="A33" s="427"/>
      <c r="B33" s="427"/>
      <c r="C33" s="427"/>
      <c r="D33" s="427"/>
      <c r="E33" s="427"/>
      <c r="F33" s="427"/>
      <c r="G33" s="427"/>
      <c r="H33" s="427"/>
      <c r="I33" s="427"/>
      <c r="J33" s="427"/>
      <c r="K33" s="427"/>
    </row>
    <row r="34" spans="1:11" ht="15">
      <c r="A34" s="427"/>
      <c r="B34" s="427"/>
      <c r="C34" s="427"/>
      <c r="D34" s="427"/>
      <c r="E34" s="427"/>
      <c r="F34" s="427"/>
      <c r="G34" s="427"/>
      <c r="H34" s="427"/>
      <c r="I34" s="427"/>
      <c r="J34" s="427"/>
      <c r="K34" s="427"/>
    </row>
    <row r="35" spans="1:11" ht="15">
      <c r="A35" s="427"/>
      <c r="B35" s="427"/>
      <c r="C35" s="427"/>
      <c r="D35" s="427"/>
      <c r="E35" s="427"/>
      <c r="F35" s="427"/>
      <c r="G35" s="427"/>
      <c r="H35" s="427"/>
      <c r="I35" s="427"/>
      <c r="J35" s="427"/>
      <c r="K35" s="427"/>
    </row>
    <row r="36" spans="1:11" ht="15">
      <c r="A36" s="427"/>
      <c r="B36" s="427"/>
      <c r="C36" s="427"/>
      <c r="D36" s="427"/>
      <c r="E36" s="427"/>
      <c r="F36" s="427"/>
      <c r="G36" s="427"/>
      <c r="H36" s="427"/>
      <c r="I36" s="427"/>
      <c r="J36" s="427"/>
      <c r="K36" s="427"/>
    </row>
    <row r="37" spans="1:11" ht="15">
      <c r="A37" s="427"/>
      <c r="B37" s="427"/>
      <c r="C37" s="427"/>
      <c r="D37" s="427"/>
      <c r="E37" s="427"/>
      <c r="F37" s="427"/>
      <c r="G37" s="427"/>
      <c r="H37" s="427"/>
      <c r="I37" s="427"/>
      <c r="J37" s="427"/>
      <c r="K37" s="427"/>
    </row>
    <row r="38" spans="1:11" ht="15">
      <c r="A38" s="427"/>
      <c r="B38" s="427"/>
      <c r="C38" s="427"/>
      <c r="D38" s="427"/>
      <c r="E38" s="427"/>
      <c r="F38" s="427"/>
      <c r="G38" s="427"/>
      <c r="H38" s="427"/>
      <c r="I38" s="427"/>
      <c r="J38" s="427"/>
      <c r="K38" s="427"/>
    </row>
    <row r="39" spans="1:11" ht="15">
      <c r="A39" s="427"/>
      <c r="B39" s="427"/>
      <c r="C39" s="427"/>
      <c r="D39" s="427"/>
      <c r="E39" s="427"/>
      <c r="F39" s="427"/>
      <c r="G39" s="427"/>
      <c r="H39" s="427"/>
      <c r="I39" s="427"/>
      <c r="J39" s="427"/>
      <c r="K39" s="427"/>
    </row>
    <row r="40" spans="1:11" ht="15">
      <c r="A40" s="427"/>
      <c r="B40" s="427"/>
      <c r="C40" s="427"/>
      <c r="D40" s="427"/>
      <c r="E40" s="427"/>
      <c r="F40" s="427"/>
      <c r="G40" s="427"/>
      <c r="H40" s="427"/>
      <c r="I40" s="427"/>
      <c r="J40" s="427"/>
      <c r="K40" s="427"/>
    </row>
    <row r="41" spans="1:11" ht="15">
      <c r="A41" s="427"/>
      <c r="B41" s="427"/>
      <c r="C41" s="427"/>
      <c r="D41" s="427"/>
      <c r="E41" s="427"/>
      <c r="F41" s="427"/>
      <c r="G41" s="427"/>
      <c r="H41" s="427"/>
      <c r="I41" s="427"/>
      <c r="J41" s="427"/>
      <c r="K41" s="427"/>
    </row>
    <row r="42" spans="1:11" ht="15">
      <c r="A42" s="427"/>
      <c r="B42" s="427"/>
      <c r="C42" s="427"/>
      <c r="D42" s="427"/>
      <c r="E42" s="427"/>
      <c r="F42" s="427"/>
      <c r="G42" s="427"/>
      <c r="H42" s="427"/>
      <c r="I42" s="427"/>
      <c r="J42" s="427"/>
      <c r="K42" s="427"/>
    </row>
    <row r="43" spans="1:11" ht="15">
      <c r="A43" s="427"/>
      <c r="B43" s="427"/>
      <c r="C43" s="427"/>
      <c r="D43" s="427"/>
      <c r="E43" s="427"/>
      <c r="F43" s="427"/>
      <c r="G43" s="427"/>
      <c r="H43" s="427"/>
      <c r="I43" s="427"/>
      <c r="J43" s="427"/>
      <c r="K43" s="427"/>
    </row>
    <row r="44" spans="1:11" ht="15">
      <c r="A44" s="427"/>
      <c r="B44" s="427"/>
      <c r="C44" s="427"/>
      <c r="D44" s="427"/>
      <c r="E44" s="427"/>
      <c r="F44" s="427"/>
      <c r="G44" s="427"/>
      <c r="H44" s="427"/>
      <c r="I44" s="427"/>
      <c r="J44" s="427"/>
      <c r="K44" s="427"/>
    </row>
    <row r="45" spans="1:11" ht="15">
      <c r="A45" s="427"/>
      <c r="B45" s="427"/>
      <c r="C45" s="427"/>
      <c r="D45" s="427"/>
      <c r="E45" s="427"/>
      <c r="F45" s="427"/>
      <c r="G45" s="427"/>
      <c r="H45" s="427"/>
      <c r="I45" s="427"/>
      <c r="J45" s="427"/>
      <c r="K45" s="427"/>
    </row>
    <row r="46" spans="1:11" ht="15">
      <c r="A46" s="427"/>
      <c r="B46" s="427"/>
      <c r="C46" s="427"/>
      <c r="D46" s="427"/>
      <c r="E46" s="427"/>
      <c r="F46" s="427"/>
      <c r="G46" s="427"/>
      <c r="H46" s="427"/>
      <c r="I46" s="427"/>
      <c r="J46" s="427"/>
      <c r="K46" s="427"/>
    </row>
    <row r="47" spans="1:11" ht="15">
      <c r="A47" s="427"/>
      <c r="B47" s="427"/>
      <c r="C47" s="427"/>
      <c r="D47" s="427"/>
      <c r="E47" s="427"/>
      <c r="F47" s="427"/>
      <c r="G47" s="427"/>
      <c r="H47" s="427"/>
      <c r="I47" s="427"/>
      <c r="J47" s="427"/>
      <c r="K47" s="427"/>
    </row>
    <row r="48" spans="1:11" ht="15">
      <c r="A48" s="427"/>
      <c r="B48" s="427"/>
      <c r="C48" s="427"/>
      <c r="D48" s="427"/>
      <c r="E48" s="427"/>
      <c r="F48" s="427"/>
      <c r="G48" s="427"/>
      <c r="H48" s="427"/>
      <c r="I48" s="427"/>
      <c r="J48" s="427"/>
      <c r="K48" s="427"/>
    </row>
    <row r="49" spans="1:11" ht="15">
      <c r="A49" s="427"/>
      <c r="B49" s="427"/>
      <c r="C49" s="427"/>
      <c r="D49" s="427"/>
      <c r="E49" s="427"/>
      <c r="F49" s="427"/>
      <c r="G49" s="427"/>
      <c r="H49" s="427"/>
      <c r="I49" s="427"/>
      <c r="J49" s="427"/>
      <c r="K49" s="427"/>
    </row>
    <row r="50" spans="1:11" ht="15">
      <c r="A50" s="427"/>
      <c r="B50" s="427"/>
      <c r="C50" s="427"/>
      <c r="D50" s="427"/>
      <c r="E50" s="427"/>
      <c r="F50" s="427"/>
      <c r="G50" s="427"/>
      <c r="H50" s="427"/>
      <c r="I50" s="427"/>
      <c r="J50" s="427"/>
      <c r="K50" s="427"/>
    </row>
    <row r="51" spans="1:11" ht="15">
      <c r="A51" s="427"/>
      <c r="B51" s="427"/>
      <c r="C51" s="427"/>
      <c r="D51" s="427"/>
      <c r="E51" s="427"/>
      <c r="F51" s="427"/>
      <c r="G51" s="427"/>
      <c r="H51" s="427"/>
      <c r="I51" s="427"/>
      <c r="J51" s="427"/>
      <c r="K51" s="427"/>
    </row>
    <row r="52" spans="1:11" ht="15">
      <c r="A52" s="366"/>
      <c r="B52" s="366"/>
      <c r="C52" s="366"/>
      <c r="D52" s="366"/>
      <c r="E52" s="366"/>
      <c r="F52" s="366"/>
      <c r="G52" s="366"/>
      <c r="H52" s="366"/>
      <c r="I52" s="366"/>
      <c r="J52" s="366"/>
      <c r="K52" s="366"/>
    </row>
    <row r="53" spans="1:11" ht="15">
      <c r="A53" s="366"/>
      <c r="B53" s="366"/>
      <c r="C53" s="366"/>
      <c r="D53" s="366"/>
      <c r="E53" s="366"/>
      <c r="F53" s="366"/>
      <c r="G53" s="366"/>
      <c r="H53" s="366"/>
      <c r="I53" s="366"/>
      <c r="J53" s="366"/>
      <c r="K53" s="366"/>
    </row>
    <row r="54" spans="1:11" ht="15">
      <c r="A54" s="366"/>
      <c r="B54" s="366"/>
      <c r="C54" s="366"/>
      <c r="D54" s="366"/>
      <c r="E54" s="366"/>
      <c r="F54" s="366"/>
      <c r="G54" s="366"/>
      <c r="H54" s="366"/>
      <c r="I54" s="366"/>
      <c r="J54" s="366"/>
      <c r="K54" s="366"/>
    </row>
    <row r="55" spans="1:11" ht="15">
      <c r="A55" s="366"/>
      <c r="B55" s="366"/>
      <c r="C55" s="366"/>
      <c r="D55" s="366"/>
      <c r="E55" s="366"/>
      <c r="F55" s="366"/>
      <c r="G55" s="366"/>
      <c r="H55" s="366"/>
      <c r="I55" s="366"/>
      <c r="J55" s="366"/>
      <c r="K55" s="366"/>
    </row>
    <row r="56" spans="1:11" ht="15">
      <c r="A56" s="366"/>
      <c r="B56" s="366"/>
      <c r="C56" s="366"/>
      <c r="D56" s="366"/>
      <c r="E56" s="366"/>
      <c r="F56" s="366"/>
      <c r="G56" s="366"/>
      <c r="H56" s="366"/>
      <c r="I56" s="366"/>
      <c r="J56" s="366"/>
      <c r="K56" s="366"/>
    </row>
    <row r="57" spans="1:11" ht="15">
      <c r="A57" s="366"/>
      <c r="B57" s="366"/>
      <c r="C57" s="366"/>
      <c r="D57" s="366"/>
      <c r="E57" s="366"/>
      <c r="F57" s="366"/>
      <c r="G57" s="366"/>
      <c r="H57" s="366"/>
      <c r="I57" s="366"/>
      <c r="J57" s="366"/>
      <c r="K57" s="366"/>
    </row>
  </sheetData>
  <sheetProtection/>
  <mergeCells count="17">
    <mergeCell ref="K15:K16"/>
    <mergeCell ref="A11:K11"/>
    <mergeCell ref="A12:K12"/>
    <mergeCell ref="A14:A16"/>
    <mergeCell ref="B14:B16"/>
    <mergeCell ref="C14:E14"/>
    <mergeCell ref="F14:G14"/>
    <mergeCell ref="H14:K14"/>
    <mergeCell ref="C15:C16"/>
    <mergeCell ref="D15:D16"/>
    <mergeCell ref="B29:J29"/>
    <mergeCell ref="F15:F16"/>
    <mergeCell ref="G15:G16"/>
    <mergeCell ref="H15:H16"/>
    <mergeCell ref="I15:I16"/>
    <mergeCell ref="J15:J16"/>
    <mergeCell ref="E15:E16"/>
  </mergeCells>
  <printOptions/>
  <pageMargins left="0.7086614173228347" right="0.24" top="0.7480314960629921" bottom="0.7480314960629921" header="0.31496062992125984" footer="0.31496062992125984"/>
  <pageSetup fitToHeight="1" fitToWidth="1" horizontalDpi="600" verticalDpi="600" orientation="portrait" paperSize="9" scale="51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9"/>
  <sheetViews>
    <sheetView view="pageBreakPreview" zoomScale="77" zoomScaleSheetLayoutView="77" zoomScalePageLayoutView="0" workbookViewId="0" topLeftCell="A25">
      <selection activeCell="F45" sqref="F45"/>
    </sheetView>
  </sheetViews>
  <sheetFormatPr defaultColWidth="9.00390625" defaultRowHeight="15.75"/>
  <cols>
    <col min="1" max="1" width="4.375" style="144" customWidth="1"/>
    <col min="2" max="2" width="46.25390625" style="144" customWidth="1"/>
    <col min="3" max="3" width="11.375" style="144" customWidth="1"/>
    <col min="4" max="4" width="15.75390625" style="144" customWidth="1"/>
    <col min="5" max="7" width="12.75390625" style="144" customWidth="1"/>
    <col min="8" max="16384" width="9.00390625" style="144" customWidth="1"/>
  </cols>
  <sheetData>
    <row r="1" spans="4:7" ht="14.25" customHeight="1">
      <c r="D1" s="145" t="s">
        <v>168</v>
      </c>
      <c r="E1" s="145"/>
      <c r="F1" s="145"/>
      <c r="G1" s="145"/>
    </row>
    <row r="2" ht="5.25" customHeight="1"/>
    <row r="3" spans="1:3" s="147" customFormat="1" ht="39.75" customHeight="1">
      <c r="A3" s="1088" t="s">
        <v>169</v>
      </c>
      <c r="B3" s="1089"/>
      <c r="C3" s="1089"/>
    </row>
    <row r="4" spans="1:7" ht="23.25" customHeight="1">
      <c r="A4" s="1090" t="s">
        <v>170</v>
      </c>
      <c r="B4" s="1090"/>
      <c r="D4" s="146"/>
      <c r="E4" s="146"/>
      <c r="F4" s="146"/>
      <c r="G4" s="146"/>
    </row>
    <row r="5" spans="1:7" ht="119.25" customHeight="1">
      <c r="A5" s="177" t="s">
        <v>171</v>
      </c>
      <c r="B5" s="177" t="s">
        <v>293</v>
      </c>
      <c r="C5" s="177" t="s">
        <v>172</v>
      </c>
      <c r="D5" s="149" t="s">
        <v>173</v>
      </c>
      <c r="E5" s="149" t="s">
        <v>231</v>
      </c>
      <c r="F5" s="149" t="s">
        <v>232</v>
      </c>
      <c r="G5" s="149" t="s">
        <v>233</v>
      </c>
    </row>
    <row r="6" spans="1:7" ht="12.75" customHeight="1">
      <c r="A6" s="150">
        <v>1</v>
      </c>
      <c r="B6" s="150">
        <f aca="true" t="shared" si="0" ref="B6:G6">+A6+1</f>
        <v>2</v>
      </c>
      <c r="C6" s="150">
        <f t="shared" si="0"/>
        <v>3</v>
      </c>
      <c r="D6" s="150">
        <f t="shared" si="0"/>
        <v>4</v>
      </c>
      <c r="E6" s="150">
        <f t="shared" si="0"/>
        <v>5</v>
      </c>
      <c r="F6" s="150">
        <f t="shared" si="0"/>
        <v>6</v>
      </c>
      <c r="G6" s="150">
        <f t="shared" si="0"/>
        <v>7</v>
      </c>
    </row>
    <row r="7" spans="1:7" ht="15.75">
      <c r="A7" s="151" t="s">
        <v>237</v>
      </c>
      <c r="B7" s="152" t="s">
        <v>174</v>
      </c>
      <c r="C7" s="148"/>
      <c r="D7" s="151"/>
      <c r="E7" s="151"/>
      <c r="F7" s="151"/>
      <c r="G7" s="151"/>
    </row>
    <row r="8" spans="1:7" ht="15.75">
      <c r="A8" s="151"/>
      <c r="B8" s="153" t="s">
        <v>175</v>
      </c>
      <c r="C8" s="148" t="s">
        <v>176</v>
      </c>
      <c r="D8" s="150">
        <v>251.391429</v>
      </c>
      <c r="E8" s="150">
        <v>251.391429</v>
      </c>
      <c r="F8" s="150">
        <v>251.391429</v>
      </c>
      <c r="G8" s="150">
        <v>251.391429</v>
      </c>
    </row>
    <row r="9" spans="1:7" ht="15.75">
      <c r="A9" s="151" t="s">
        <v>240</v>
      </c>
      <c r="B9" s="154" t="s">
        <v>177</v>
      </c>
      <c r="C9" s="148"/>
      <c r="D9" s="155"/>
      <c r="E9" s="155"/>
      <c r="F9" s="155"/>
      <c r="G9" s="155"/>
    </row>
    <row r="10" spans="1:7" ht="15.75">
      <c r="A10" s="151" t="s">
        <v>241</v>
      </c>
      <c r="B10" s="153" t="s">
        <v>178</v>
      </c>
      <c r="C10" s="148" t="s">
        <v>179</v>
      </c>
      <c r="D10" s="156">
        <v>4535.5</v>
      </c>
      <c r="E10" s="156">
        <v>5225</v>
      </c>
      <c r="F10" s="156">
        <f>E12</f>
        <v>5366.075</v>
      </c>
      <c r="G10" s="156">
        <f>F12</f>
        <v>5629.012674999999</v>
      </c>
    </row>
    <row r="11" spans="1:7" ht="15.75">
      <c r="A11" s="151" t="s">
        <v>242</v>
      </c>
      <c r="B11" s="153" t="s">
        <v>180</v>
      </c>
      <c r="C11" s="148"/>
      <c r="D11" s="157">
        <v>1.071</v>
      </c>
      <c r="E11" s="191">
        <f>1.027</f>
        <v>1.027</v>
      </c>
      <c r="F11" s="157">
        <v>1.049</v>
      </c>
      <c r="G11" s="157">
        <f>F11</f>
        <v>1.049</v>
      </c>
    </row>
    <row r="12" spans="1:7" ht="31.5">
      <c r="A12" s="151" t="s">
        <v>243</v>
      </c>
      <c r="B12" s="153" t="s">
        <v>181</v>
      </c>
      <c r="C12" s="148" t="s">
        <v>179</v>
      </c>
      <c r="D12" s="156">
        <f>D10*D11</f>
        <v>4857.5205</v>
      </c>
      <c r="E12" s="156">
        <f>E10*E11</f>
        <v>5366.075</v>
      </c>
      <c r="F12" s="156">
        <f>F10*F11</f>
        <v>5629.012674999999</v>
      </c>
      <c r="G12" s="156">
        <f>G10*G11</f>
        <v>5904.834296074999</v>
      </c>
    </row>
    <row r="13" spans="1:7" ht="15.75">
      <c r="A13" s="151" t="s">
        <v>244</v>
      </c>
      <c r="B13" s="151" t="s">
        <v>182</v>
      </c>
      <c r="C13" s="148"/>
      <c r="D13" s="159">
        <v>5.7344937499999995</v>
      </c>
      <c r="E13" s="159">
        <v>5.7344937499999995</v>
      </c>
      <c r="F13" s="159">
        <v>5.7344937499999995</v>
      </c>
      <c r="G13" s="159">
        <v>5.7344937499999995</v>
      </c>
    </row>
    <row r="14" spans="1:7" ht="31.5">
      <c r="A14" s="151" t="s">
        <v>289</v>
      </c>
      <c r="B14" s="153" t="s">
        <v>183</v>
      </c>
      <c r="C14" s="148" t="s">
        <v>179</v>
      </c>
      <c r="D14" s="159">
        <v>1.8996647728645781</v>
      </c>
      <c r="E14" s="159">
        <v>1.8996647728645781</v>
      </c>
      <c r="F14" s="159">
        <v>1.8996647728645781</v>
      </c>
      <c r="G14" s="159">
        <v>1.8996647728645781</v>
      </c>
    </row>
    <row r="15" spans="1:7" ht="15.75">
      <c r="A15" s="151" t="s">
        <v>334</v>
      </c>
      <c r="B15" s="153" t="s">
        <v>184</v>
      </c>
      <c r="C15" s="148" t="s">
        <v>185</v>
      </c>
      <c r="D15" s="150">
        <f>D12*D14</f>
        <v>9227.66057731753</v>
      </c>
      <c r="E15" s="150">
        <f>E12*E14</f>
        <v>10193.74364604929</v>
      </c>
      <c r="F15" s="150">
        <f>F12*F14</f>
        <v>10693.237084705705</v>
      </c>
      <c r="G15" s="150">
        <f>G12*G14</f>
        <v>11217.205701856283</v>
      </c>
    </row>
    <row r="16" spans="1:7" ht="31.5">
      <c r="A16" s="151" t="s">
        <v>63</v>
      </c>
      <c r="B16" s="153" t="s">
        <v>186</v>
      </c>
      <c r="C16" s="148"/>
      <c r="D16" s="160"/>
      <c r="E16" s="160"/>
      <c r="F16" s="160"/>
      <c r="G16" s="160"/>
    </row>
    <row r="17" spans="1:7" ht="15.75">
      <c r="A17" s="151" t="s">
        <v>187</v>
      </c>
      <c r="B17" s="153" t="s">
        <v>188</v>
      </c>
      <c r="C17" s="148" t="s">
        <v>349</v>
      </c>
      <c r="D17" s="158">
        <v>20.568801145224132</v>
      </c>
      <c r="E17" s="158">
        <v>20.568801145224132</v>
      </c>
      <c r="F17" s="158">
        <v>20.568801145224132</v>
      </c>
      <c r="G17" s="158">
        <v>20.568801145224132</v>
      </c>
    </row>
    <row r="18" spans="1:7" ht="15.75">
      <c r="A18" s="151" t="s">
        <v>189</v>
      </c>
      <c r="B18" s="153" t="s">
        <v>190</v>
      </c>
      <c r="C18" s="148" t="s">
        <v>179</v>
      </c>
      <c r="D18" s="156">
        <f>D15*D17/100</f>
        <v>1898.019154504684</v>
      </c>
      <c r="E18" s="156">
        <f>E15*E17/100</f>
        <v>2096.7308598097984</v>
      </c>
      <c r="F18" s="156">
        <f>F15*F17/100</f>
        <v>2199.4706719404785</v>
      </c>
      <c r="G18" s="156">
        <f>G15*G17/100</f>
        <v>2307.244734865562</v>
      </c>
    </row>
    <row r="19" spans="1:7" ht="15.75">
      <c r="A19" s="151" t="s">
        <v>191</v>
      </c>
      <c r="B19" s="153" t="s">
        <v>192</v>
      </c>
      <c r="C19" s="148"/>
      <c r="D19" s="155"/>
      <c r="E19" s="155"/>
      <c r="F19" s="155"/>
      <c r="G19" s="155"/>
    </row>
    <row r="20" spans="1:7" ht="15.75">
      <c r="A20" s="151" t="s">
        <v>193</v>
      </c>
      <c r="B20" s="153" t="s">
        <v>188</v>
      </c>
      <c r="C20" s="148" t="s">
        <v>349</v>
      </c>
      <c r="D20" s="155">
        <v>50</v>
      </c>
      <c r="E20" s="155">
        <v>55</v>
      </c>
      <c r="F20" s="155">
        <v>55</v>
      </c>
      <c r="G20" s="155">
        <v>55</v>
      </c>
    </row>
    <row r="21" spans="1:7" ht="15.75">
      <c r="A21" s="151" t="s">
        <v>194</v>
      </c>
      <c r="B21" s="153" t="s">
        <v>190</v>
      </c>
      <c r="C21" s="148" t="s">
        <v>179</v>
      </c>
      <c r="D21" s="155">
        <f>ROUND((D15+D18)*D20/100,0)</f>
        <v>5563</v>
      </c>
      <c r="E21" s="155">
        <f>ROUND((E15+E18)*E20/100,0)</f>
        <v>6760</v>
      </c>
      <c r="F21" s="155">
        <f>ROUND((F15+F18)*F20/100,0)</f>
        <v>7091</v>
      </c>
      <c r="G21" s="155">
        <f>ROUND((G15+G18)*G20/100,0)</f>
        <v>7438</v>
      </c>
    </row>
    <row r="22" spans="1:7" ht="15.75">
      <c r="A22" s="151" t="s">
        <v>195</v>
      </c>
      <c r="B22" s="153" t="s">
        <v>196</v>
      </c>
      <c r="C22" s="148"/>
      <c r="D22" s="155"/>
      <c r="E22" s="155"/>
      <c r="F22" s="155"/>
      <c r="G22" s="155"/>
    </row>
    <row r="23" spans="1:7" ht="15.75">
      <c r="A23" s="151" t="s">
        <v>197</v>
      </c>
      <c r="B23" s="153" t="s">
        <v>188</v>
      </c>
      <c r="C23" s="148" t="s">
        <v>349</v>
      </c>
      <c r="D23" s="156">
        <v>3.6764582017408745</v>
      </c>
      <c r="E23" s="156">
        <v>5</v>
      </c>
      <c r="F23" s="156">
        <v>6</v>
      </c>
      <c r="G23" s="156">
        <v>7</v>
      </c>
    </row>
    <row r="24" spans="1:7" ht="15.75">
      <c r="A24" s="151" t="s">
        <v>198</v>
      </c>
      <c r="B24" s="153" t="s">
        <v>190</v>
      </c>
      <c r="C24" s="148" t="s">
        <v>179</v>
      </c>
      <c r="D24" s="155">
        <f>ROUND((D15+D18)*D23/100,0)</f>
        <v>409</v>
      </c>
      <c r="E24" s="155">
        <f>ROUND((E15+E18)*E23/100,0)</f>
        <v>615</v>
      </c>
      <c r="F24" s="155">
        <f>ROUND((F15+F18)*F23/100,0)</f>
        <v>774</v>
      </c>
      <c r="G24" s="155">
        <f>ROUND((G15+G18)*G23/100,0)</f>
        <v>947</v>
      </c>
    </row>
    <row r="25" spans="1:7" ht="15.75">
      <c r="A25" s="151" t="s">
        <v>199</v>
      </c>
      <c r="B25" s="161" t="s">
        <v>200</v>
      </c>
      <c r="C25" s="148" t="s">
        <v>179</v>
      </c>
      <c r="D25" s="155"/>
      <c r="E25" s="155"/>
      <c r="F25" s="155"/>
      <c r="G25" s="155"/>
    </row>
    <row r="26" spans="1:7" ht="15.75">
      <c r="A26" s="151" t="s">
        <v>201</v>
      </c>
      <c r="B26" s="153" t="s">
        <v>188</v>
      </c>
      <c r="C26" s="148" t="s">
        <v>349</v>
      </c>
      <c r="D26" s="158"/>
      <c r="E26" s="158"/>
      <c r="F26" s="158"/>
      <c r="G26" s="158"/>
    </row>
    <row r="27" spans="1:7" ht="15.75">
      <c r="A27" s="151" t="s">
        <v>202</v>
      </c>
      <c r="B27" s="153" t="s">
        <v>190</v>
      </c>
      <c r="C27" s="148" t="s">
        <v>179</v>
      </c>
      <c r="D27" s="156"/>
      <c r="E27" s="156"/>
      <c r="F27" s="156"/>
      <c r="G27" s="156"/>
    </row>
    <row r="28" spans="1:7" ht="31.5">
      <c r="A28" s="151" t="s">
        <v>203</v>
      </c>
      <c r="B28" s="153" t="s">
        <v>204</v>
      </c>
      <c r="C28" s="148"/>
      <c r="D28" s="155"/>
      <c r="E28" s="155"/>
      <c r="F28" s="155"/>
      <c r="G28" s="155"/>
    </row>
    <row r="29" spans="1:7" ht="15.75">
      <c r="A29" s="151" t="s">
        <v>205</v>
      </c>
      <c r="B29" s="153" t="s">
        <v>188</v>
      </c>
      <c r="C29" s="148" t="s">
        <v>349</v>
      </c>
      <c r="D29" s="156">
        <v>173.37154603372622</v>
      </c>
      <c r="E29" s="156">
        <v>173.37154603372622</v>
      </c>
      <c r="F29" s="156">
        <v>173.37154603372622</v>
      </c>
      <c r="G29" s="156">
        <v>173.37154603372622</v>
      </c>
    </row>
    <row r="30" spans="1:7" ht="15.75">
      <c r="A30" s="151" t="s">
        <v>206</v>
      </c>
      <c r="B30" s="153" t="s">
        <v>190</v>
      </c>
      <c r="C30" s="148" t="s">
        <v>179</v>
      </c>
      <c r="D30" s="156">
        <f>(D15+D18+D21+D24)*D29/100</f>
        <v>29642.51168695523</v>
      </c>
      <c r="E30" s="156">
        <f>(E15+E18+E21+E24)*E29/100</f>
        <v>34094.33718567618</v>
      </c>
      <c r="F30" s="156">
        <f>(F15+F18+F21+F24)*F29/100</f>
        <v>35987.95885886019</v>
      </c>
      <c r="G30" s="156">
        <f>(G15+G18+G21+G24)*G29/100</f>
        <v>37984.752949637645</v>
      </c>
    </row>
    <row r="31" spans="1:7" ht="15.75">
      <c r="A31" s="151" t="s">
        <v>207</v>
      </c>
      <c r="B31" s="153" t="s">
        <v>208</v>
      </c>
      <c r="C31" s="148" t="s">
        <v>179</v>
      </c>
      <c r="D31" s="156">
        <f>D15+D18+D21+D24+D30+D27</f>
        <v>46740.191418777446</v>
      </c>
      <c r="E31" s="156">
        <f>E15+E18+E21+E24+E30+E27</f>
        <v>53759.81169153527</v>
      </c>
      <c r="F31" s="156">
        <f>F15+F18+F21+F24+F30+F27</f>
        <v>56745.66661550637</v>
      </c>
      <c r="G31" s="156">
        <f>G15+G18+G21+G24+G30+G27</f>
        <v>59894.20338635949</v>
      </c>
    </row>
    <row r="32" spans="1:7" ht="15.75">
      <c r="A32" s="151"/>
      <c r="B32" s="153"/>
      <c r="C32" s="148"/>
      <c r="D32" s="151"/>
      <c r="E32" s="151"/>
      <c r="F32" s="151"/>
      <c r="G32" s="151"/>
    </row>
    <row r="33" spans="1:7" ht="15.75">
      <c r="A33" s="151"/>
      <c r="B33" s="153" t="s">
        <v>209</v>
      </c>
      <c r="C33" s="148" t="s">
        <v>210</v>
      </c>
      <c r="D33" s="151"/>
      <c r="E33" s="151"/>
      <c r="F33" s="151"/>
      <c r="G33" s="151"/>
    </row>
    <row r="34" spans="1:7" ht="15.75">
      <c r="A34" s="151"/>
      <c r="B34" s="153" t="s">
        <v>211</v>
      </c>
      <c r="C34" s="148" t="s">
        <v>210</v>
      </c>
      <c r="D34" s="151"/>
      <c r="E34" s="151"/>
      <c r="F34" s="151"/>
      <c r="G34" s="151"/>
    </row>
    <row r="35" spans="1:7" ht="15.75">
      <c r="A35" s="151"/>
      <c r="B35" s="153" t="s">
        <v>212</v>
      </c>
      <c r="C35" s="148" t="s">
        <v>210</v>
      </c>
      <c r="D35" s="151"/>
      <c r="E35" s="151"/>
      <c r="F35" s="151"/>
      <c r="G35" s="151"/>
    </row>
    <row r="36" spans="1:7" ht="15.75">
      <c r="A36" s="151"/>
      <c r="B36" s="153" t="s">
        <v>213</v>
      </c>
      <c r="C36" s="148" t="s">
        <v>210</v>
      </c>
      <c r="D36" s="162"/>
      <c r="E36" s="162"/>
      <c r="F36" s="162"/>
      <c r="G36" s="162"/>
    </row>
    <row r="37" spans="1:7" ht="15.75">
      <c r="A37" s="151"/>
      <c r="B37" s="153"/>
      <c r="C37" s="148"/>
      <c r="D37" s="151"/>
      <c r="E37" s="151"/>
      <c r="F37" s="151"/>
      <c r="G37" s="151"/>
    </row>
    <row r="38" spans="1:7" ht="26.25">
      <c r="A38" s="151" t="s">
        <v>297</v>
      </c>
      <c r="B38" s="154" t="s">
        <v>214</v>
      </c>
      <c r="C38" s="148"/>
      <c r="D38" s="181">
        <f>D39+D41</f>
        <v>143502.7742339793</v>
      </c>
      <c r="E38" s="181">
        <f>E39+E41</f>
        <v>164813.93838338566</v>
      </c>
      <c r="F38" s="181">
        <f>F39+F41</f>
        <v>173950.56493792025</v>
      </c>
      <c r="G38" s="181">
        <f>G39+G41</f>
        <v>183584.2844755066</v>
      </c>
    </row>
    <row r="39" spans="1:7" ht="15.75">
      <c r="A39" s="151" t="s">
        <v>365</v>
      </c>
      <c r="B39" s="153" t="s">
        <v>215</v>
      </c>
      <c r="C39" s="148" t="s">
        <v>210</v>
      </c>
      <c r="D39" s="182">
        <v>2501.7720839793</v>
      </c>
      <c r="E39" s="182">
        <f>D39*1.054</f>
        <v>2636.8677765141824</v>
      </c>
      <c r="F39" s="182">
        <f>E39*F$11</f>
        <v>2766.074297563377</v>
      </c>
      <c r="G39" s="182">
        <f>F39*G$11</f>
        <v>2901.6119381439826</v>
      </c>
    </row>
    <row r="40" spans="1:7" ht="15.75">
      <c r="A40" s="151" t="s">
        <v>366</v>
      </c>
      <c r="B40" s="153" t="s">
        <v>216</v>
      </c>
      <c r="C40" s="148" t="s">
        <v>217</v>
      </c>
      <c r="D40" s="183"/>
      <c r="E40" s="183"/>
      <c r="F40" s="183"/>
      <c r="G40" s="183"/>
    </row>
    <row r="41" spans="1:7" ht="15.75">
      <c r="A41" s="151" t="s">
        <v>367</v>
      </c>
      <c r="B41" s="153" t="s">
        <v>218</v>
      </c>
      <c r="C41" s="148" t="s">
        <v>217</v>
      </c>
      <c r="D41" s="184">
        <f>D31*12*D8/1000</f>
        <v>141001.00215</v>
      </c>
      <c r="E41" s="184">
        <f>E31*12*E8/1000</f>
        <v>162177.07060687148</v>
      </c>
      <c r="F41" s="184">
        <f>F31*12*F8/1000</f>
        <v>171184.49064035687</v>
      </c>
      <c r="G41" s="184">
        <f>G31*12*G8/1000</f>
        <v>180682.6725373626</v>
      </c>
    </row>
    <row r="42" spans="1:7" ht="26.25">
      <c r="A42" s="151" t="s">
        <v>299</v>
      </c>
      <c r="B42" s="154" t="s">
        <v>219</v>
      </c>
      <c r="C42" s="148"/>
      <c r="D42" s="185"/>
      <c r="E42" s="185"/>
      <c r="F42" s="185"/>
      <c r="G42" s="185"/>
    </row>
    <row r="43" spans="1:7" ht="31.5">
      <c r="A43" s="151" t="s">
        <v>245</v>
      </c>
      <c r="B43" s="153" t="s">
        <v>220</v>
      </c>
      <c r="C43" s="148" t="s">
        <v>176</v>
      </c>
      <c r="D43" s="185"/>
      <c r="E43" s="185"/>
      <c r="F43" s="185"/>
      <c r="G43" s="185"/>
    </row>
    <row r="44" spans="1:7" ht="15.75">
      <c r="A44" s="151" t="s">
        <v>246</v>
      </c>
      <c r="B44" s="153" t="s">
        <v>221</v>
      </c>
      <c r="C44" s="148" t="s">
        <v>179</v>
      </c>
      <c r="D44" s="185"/>
      <c r="E44" s="185"/>
      <c r="F44" s="185"/>
      <c r="G44" s="185"/>
    </row>
    <row r="45" spans="1:7" ht="15.75">
      <c r="A45" s="151" t="s">
        <v>247</v>
      </c>
      <c r="B45" s="153" t="s">
        <v>215</v>
      </c>
      <c r="C45" s="148" t="s">
        <v>210</v>
      </c>
      <c r="D45" s="185"/>
      <c r="E45" s="185"/>
      <c r="F45" s="185"/>
      <c r="G45" s="185"/>
    </row>
    <row r="46" spans="1:7" ht="15.75">
      <c r="A46" s="151" t="s">
        <v>304</v>
      </c>
      <c r="B46" s="153" t="s">
        <v>222</v>
      </c>
      <c r="C46" s="148" t="s">
        <v>210</v>
      </c>
      <c r="D46" s="186"/>
      <c r="E46" s="186"/>
      <c r="F46" s="186"/>
      <c r="G46" s="186"/>
    </row>
    <row r="47" spans="1:7" ht="31.5">
      <c r="A47" s="151" t="s">
        <v>305</v>
      </c>
      <c r="B47" s="153" t="s">
        <v>223</v>
      </c>
      <c r="C47" s="148" t="s">
        <v>210</v>
      </c>
      <c r="D47" s="187"/>
      <c r="E47" s="187"/>
      <c r="F47" s="187"/>
      <c r="G47" s="187"/>
    </row>
    <row r="48" spans="1:7" ht="15.75">
      <c r="A48" s="151" t="s">
        <v>306</v>
      </c>
      <c r="B48" s="154" t="s">
        <v>224</v>
      </c>
      <c r="C48" s="148"/>
      <c r="D48" s="187"/>
      <c r="E48" s="187"/>
      <c r="F48" s="187"/>
      <c r="G48" s="187"/>
    </row>
    <row r="49" spans="1:7" ht="31.5">
      <c r="A49" s="151" t="s">
        <v>248</v>
      </c>
      <c r="B49" s="153" t="s">
        <v>225</v>
      </c>
      <c r="C49" s="148" t="s">
        <v>176</v>
      </c>
      <c r="D49" s="188">
        <f>D8</f>
        <v>251.391429</v>
      </c>
      <c r="E49" s="188">
        <f>E8</f>
        <v>251.391429</v>
      </c>
      <c r="F49" s="188">
        <f>F8</f>
        <v>251.391429</v>
      </c>
      <c r="G49" s="188">
        <f>G8</f>
        <v>251.391429</v>
      </c>
    </row>
    <row r="50" spans="1:7" ht="15.75">
      <c r="A50" s="151" t="s">
        <v>249</v>
      </c>
      <c r="B50" s="153" t="s">
        <v>226</v>
      </c>
      <c r="C50" s="148" t="s">
        <v>179</v>
      </c>
      <c r="D50" s="188">
        <v>683</v>
      </c>
      <c r="E50" s="188">
        <v>683</v>
      </c>
      <c r="F50" s="188">
        <v>683</v>
      </c>
      <c r="G50" s="188">
        <v>683</v>
      </c>
    </row>
    <row r="51" spans="1:7" ht="18" customHeight="1">
      <c r="A51" s="151" t="s">
        <v>308</v>
      </c>
      <c r="B51" s="153" t="s">
        <v>227</v>
      </c>
      <c r="C51" s="148" t="s">
        <v>210</v>
      </c>
      <c r="D51" s="189">
        <f>D49*D50*12/1000</f>
        <v>2060.404152084</v>
      </c>
      <c r="E51" s="182">
        <f>D51*1.054</f>
        <v>2171.665976296536</v>
      </c>
      <c r="F51" s="182">
        <f>E51*F$11</f>
        <v>2278.0776091350663</v>
      </c>
      <c r="G51" s="182">
        <f>F51*G$11</f>
        <v>2389.7034119826844</v>
      </c>
    </row>
    <row r="52" spans="1:7" ht="15.75">
      <c r="A52" s="163" t="s">
        <v>228</v>
      </c>
      <c r="B52" s="154" t="s">
        <v>229</v>
      </c>
      <c r="C52" s="148" t="s">
        <v>210</v>
      </c>
      <c r="D52" s="190">
        <f>D51+D38</f>
        <v>145563.1783860633</v>
      </c>
      <c r="E52" s="190">
        <f>E51+E38</f>
        <v>166985.60435968218</v>
      </c>
      <c r="F52" s="190">
        <f>F51+F38</f>
        <v>176228.64254705532</v>
      </c>
      <c r="G52" s="190">
        <f>G51+G38</f>
        <v>185973.9878874893</v>
      </c>
    </row>
    <row r="53" spans="1:7" ht="20.25" customHeight="1">
      <c r="A53" s="163" t="s">
        <v>167</v>
      </c>
      <c r="B53" s="154" t="s">
        <v>230</v>
      </c>
      <c r="C53" s="148" t="s">
        <v>179</v>
      </c>
      <c r="D53" s="188">
        <f>ROUND(D52/D49/12*1000,0)</f>
        <v>48252</v>
      </c>
      <c r="E53" s="188">
        <f>ROUND(E52/E49/12*1000,0)</f>
        <v>55354</v>
      </c>
      <c r="F53" s="188">
        <f>ROUND(F52/F49/12*1000,0)</f>
        <v>58418</v>
      </c>
      <c r="G53" s="188">
        <f>ROUND(G52/G49/12*1000,0)</f>
        <v>61648</v>
      </c>
    </row>
    <row r="54" spans="2:7" ht="28.5" customHeight="1">
      <c r="B54" s="178" t="s">
        <v>234</v>
      </c>
      <c r="C54" s="179"/>
      <c r="D54" s="180"/>
      <c r="E54" s="180">
        <f>E41/D41%</f>
        <v>115.01838152493691</v>
      </c>
      <c r="F54" s="180">
        <f>F41/E41%</f>
        <v>105.55406507207175</v>
      </c>
      <c r="G54" s="180">
        <f>G41/F41%</f>
        <v>105.54850609507642</v>
      </c>
    </row>
    <row r="55" spans="1:7" s="166" customFormat="1" ht="15.75" hidden="1">
      <c r="A55" s="164"/>
      <c r="B55" s="164"/>
      <c r="C55" s="164"/>
      <c r="D55" s="165"/>
      <c r="E55" s="165"/>
      <c r="F55" s="165"/>
      <c r="G55" s="165"/>
    </row>
    <row r="56" spans="1:7" s="166" customFormat="1" ht="15.75">
      <c r="A56" s="164"/>
      <c r="B56" s="164"/>
      <c r="C56" s="164"/>
      <c r="D56" s="165"/>
      <c r="E56" s="165"/>
      <c r="F56" s="165"/>
      <c r="G56" s="165"/>
    </row>
    <row r="57" spans="1:7" s="166" customFormat="1" ht="15.75">
      <c r="A57" s="164"/>
      <c r="B57" s="164"/>
      <c r="C57" s="164"/>
      <c r="D57" s="165"/>
      <c r="E57" s="165"/>
      <c r="F57" s="165"/>
      <c r="G57" s="165"/>
    </row>
    <row r="58" spans="2:7" ht="15.75">
      <c r="B58" s="167"/>
      <c r="C58" s="167"/>
      <c r="D58" s="169"/>
      <c r="E58" s="169"/>
      <c r="F58" s="169"/>
      <c r="G58" s="169"/>
    </row>
    <row r="59" spans="2:3" s="170" customFormat="1" ht="12.75">
      <c r="B59" s="171"/>
      <c r="C59" s="172"/>
    </row>
    <row r="60" spans="2:3" ht="15.75">
      <c r="B60" s="173"/>
      <c r="C60" s="146"/>
    </row>
    <row r="61" spans="2:7" ht="15.75">
      <c r="B61" s="173"/>
      <c r="C61" s="146"/>
      <c r="D61" s="168"/>
      <c r="E61" s="168"/>
      <c r="F61" s="168"/>
      <c r="G61" s="168"/>
    </row>
    <row r="62" spans="2:3" ht="15.75">
      <c r="B62" s="173"/>
      <c r="C62" s="146"/>
    </row>
    <row r="63" spans="2:3" ht="15.75">
      <c r="B63" s="173"/>
      <c r="C63" s="146"/>
    </row>
    <row r="64" spans="2:3" ht="15.75">
      <c r="B64" s="173"/>
      <c r="C64" s="146"/>
    </row>
    <row r="65" spans="2:7" ht="15.75">
      <c r="B65" s="173"/>
      <c r="C65" s="146"/>
      <c r="D65" s="174"/>
      <c r="E65" s="174"/>
      <c r="F65" s="174"/>
      <c r="G65" s="174"/>
    </row>
    <row r="66" spans="2:7" ht="15.75">
      <c r="B66" s="173"/>
      <c r="C66" s="146"/>
      <c r="D66" s="175"/>
      <c r="E66" s="175"/>
      <c r="F66" s="175"/>
      <c r="G66" s="175"/>
    </row>
    <row r="67" spans="2:7" ht="15.75">
      <c r="B67" s="173"/>
      <c r="C67" s="146"/>
      <c r="D67" s="176"/>
      <c r="E67" s="176"/>
      <c r="F67" s="176"/>
      <c r="G67" s="176"/>
    </row>
    <row r="68" spans="2:3" ht="15.75">
      <c r="B68" s="173"/>
      <c r="C68" s="146"/>
    </row>
    <row r="69" spans="2:3" ht="15.75">
      <c r="B69" s="173"/>
      <c r="C69" s="146"/>
    </row>
    <row r="70" spans="2:3" ht="15.75">
      <c r="B70" s="173"/>
      <c r="C70" s="146"/>
    </row>
    <row r="71" spans="2:7" ht="15.75">
      <c r="B71" s="173"/>
      <c r="C71" s="146"/>
      <c r="D71" s="176"/>
      <c r="E71" s="176"/>
      <c r="F71" s="176"/>
      <c r="G71" s="176"/>
    </row>
    <row r="72" spans="2:3" ht="15.75">
      <c r="B72" s="173"/>
      <c r="C72" s="146"/>
    </row>
    <row r="73" spans="2:3" ht="15.75">
      <c r="B73" s="173"/>
      <c r="C73" s="146"/>
    </row>
    <row r="74" spans="2:3" ht="15.75">
      <c r="B74" s="173"/>
      <c r="C74" s="146"/>
    </row>
    <row r="75" spans="2:3" ht="15.75">
      <c r="B75" s="173"/>
      <c r="C75" s="146"/>
    </row>
    <row r="76" spans="2:3" ht="15.75">
      <c r="B76" s="173"/>
      <c r="C76" s="146"/>
    </row>
    <row r="77" spans="2:3" ht="15.75">
      <c r="B77" s="173"/>
      <c r="C77" s="146"/>
    </row>
    <row r="78" spans="2:3" ht="15.75">
      <c r="B78" s="173"/>
      <c r="C78" s="146"/>
    </row>
    <row r="79" spans="2:3" ht="15.75">
      <c r="B79" s="173"/>
      <c r="C79" s="146"/>
    </row>
    <row r="80" spans="2:3" ht="15.75">
      <c r="B80" s="173"/>
      <c r="C80" s="146"/>
    </row>
    <row r="81" spans="2:3" ht="15.75">
      <c r="B81" s="173"/>
      <c r="C81" s="146"/>
    </row>
    <row r="82" spans="2:3" ht="15.75">
      <c r="B82" s="173"/>
      <c r="C82" s="146"/>
    </row>
    <row r="83" spans="2:3" ht="15.75">
      <c r="B83" s="173"/>
      <c r="C83" s="146"/>
    </row>
    <row r="84" spans="2:3" ht="15.75">
      <c r="B84" s="173"/>
      <c r="C84" s="146"/>
    </row>
    <row r="85" spans="2:3" ht="15.75">
      <c r="B85" s="173"/>
      <c r="C85" s="146"/>
    </row>
    <row r="86" spans="2:3" ht="15.75">
      <c r="B86" s="173"/>
      <c r="C86" s="146"/>
    </row>
    <row r="87" spans="2:3" ht="15.75">
      <c r="B87" s="173"/>
      <c r="C87" s="146"/>
    </row>
    <row r="88" spans="2:3" ht="15.75">
      <c r="B88" s="173"/>
      <c r="C88" s="146"/>
    </row>
    <row r="89" spans="2:3" ht="15.75">
      <c r="B89" s="173"/>
      <c r="C89" s="146"/>
    </row>
    <row r="90" spans="2:3" ht="15.75">
      <c r="B90" s="173"/>
      <c r="C90" s="146"/>
    </row>
    <row r="91" spans="2:3" ht="15.75">
      <c r="B91" s="173"/>
      <c r="C91" s="146"/>
    </row>
    <row r="92" spans="2:3" ht="15.75">
      <c r="B92" s="173"/>
      <c r="C92" s="146"/>
    </row>
    <row r="93" spans="2:3" ht="15.75">
      <c r="B93" s="173"/>
      <c r="C93" s="146"/>
    </row>
    <row r="94" spans="2:3" ht="15.75">
      <c r="B94" s="173"/>
      <c r="C94" s="146"/>
    </row>
    <row r="95" spans="2:3" ht="15.75">
      <c r="B95" s="173"/>
      <c r="C95" s="146"/>
    </row>
    <row r="96" spans="2:3" ht="15.75">
      <c r="B96" s="173"/>
      <c r="C96" s="146"/>
    </row>
    <row r="97" spans="2:3" ht="15.75">
      <c r="B97" s="173"/>
      <c r="C97" s="146"/>
    </row>
    <row r="98" spans="2:3" ht="15.75">
      <c r="B98" s="173"/>
      <c r="C98" s="146"/>
    </row>
    <row r="99" spans="2:3" ht="15.75">
      <c r="B99" s="173"/>
      <c r="C99" s="146"/>
    </row>
    <row r="100" spans="2:3" ht="15.75">
      <c r="B100" s="173"/>
      <c r="C100" s="146"/>
    </row>
    <row r="101" spans="2:3" ht="15.75">
      <c r="B101" s="173"/>
      <c r="C101" s="146"/>
    </row>
    <row r="102" spans="2:3" ht="15.75">
      <c r="B102" s="173"/>
      <c r="C102" s="146"/>
    </row>
    <row r="103" spans="2:3" ht="15.75">
      <c r="B103" s="173"/>
      <c r="C103" s="146"/>
    </row>
    <row r="104" spans="2:3" ht="15.75">
      <c r="B104" s="173"/>
      <c r="C104" s="146"/>
    </row>
    <row r="105" spans="2:3" ht="15.75">
      <c r="B105" s="173"/>
      <c r="C105" s="146"/>
    </row>
    <row r="106" spans="2:3" ht="15.75">
      <c r="B106" s="173"/>
      <c r="C106" s="146"/>
    </row>
    <row r="107" spans="2:3" ht="15.75">
      <c r="B107" s="173"/>
      <c r="C107" s="146"/>
    </row>
    <row r="108" spans="2:3" ht="15.75">
      <c r="B108" s="173"/>
      <c r="C108" s="146"/>
    </row>
    <row r="109" spans="2:3" ht="15.75">
      <c r="B109" s="173"/>
      <c r="C109" s="146"/>
    </row>
    <row r="110" spans="2:3" ht="15.75">
      <c r="B110" s="173"/>
      <c r="C110" s="146"/>
    </row>
    <row r="111" spans="2:3" ht="15.75">
      <c r="B111" s="173"/>
      <c r="C111" s="146"/>
    </row>
    <row r="112" spans="2:3" ht="15.75">
      <c r="B112" s="173"/>
      <c r="C112" s="146"/>
    </row>
    <row r="113" spans="2:3" ht="15.75">
      <c r="B113" s="173"/>
      <c r="C113" s="146"/>
    </row>
    <row r="114" spans="2:3" ht="15.75">
      <c r="B114" s="173"/>
      <c r="C114" s="146"/>
    </row>
    <row r="115" spans="2:3" ht="15.75">
      <c r="B115" s="173"/>
      <c r="C115" s="146"/>
    </row>
    <row r="116" spans="2:3" ht="15.75">
      <c r="B116" s="173"/>
      <c r="C116" s="146"/>
    </row>
    <row r="117" ht="15.75">
      <c r="C117" s="146"/>
    </row>
    <row r="118" ht="15.75">
      <c r="C118" s="146"/>
    </row>
    <row r="119" ht="15.75">
      <c r="C119" s="146"/>
    </row>
    <row r="120" ht="15.75">
      <c r="C120" s="146"/>
    </row>
    <row r="121" ht="15.75">
      <c r="C121" s="146"/>
    </row>
    <row r="122" ht="15.75">
      <c r="C122" s="146"/>
    </row>
    <row r="123" ht="15.75">
      <c r="C123" s="146"/>
    </row>
    <row r="124" ht="15.75">
      <c r="C124" s="146"/>
    </row>
    <row r="125" ht="15.75">
      <c r="C125" s="146"/>
    </row>
    <row r="126" ht="15.75">
      <c r="C126" s="146"/>
    </row>
    <row r="127" ht="15.75">
      <c r="C127" s="146"/>
    </row>
    <row r="128" ht="15.75">
      <c r="C128" s="146"/>
    </row>
    <row r="129" ht="15.75">
      <c r="C129" s="146"/>
    </row>
    <row r="130" ht="15.75">
      <c r="C130" s="146"/>
    </row>
    <row r="131" ht="15.75">
      <c r="C131" s="146"/>
    </row>
    <row r="132" ht="15.75">
      <c r="C132" s="146"/>
    </row>
    <row r="133" ht="15.75">
      <c r="C133" s="146"/>
    </row>
    <row r="134" ht="15.75">
      <c r="C134" s="146"/>
    </row>
    <row r="135" ht="15.75">
      <c r="C135" s="146"/>
    </row>
    <row r="136" ht="15.75">
      <c r="C136" s="146"/>
    </row>
    <row r="137" ht="15.75">
      <c r="C137" s="146"/>
    </row>
    <row r="138" ht="15.75">
      <c r="C138" s="146"/>
    </row>
    <row r="139" ht="15.75">
      <c r="C139" s="146"/>
    </row>
  </sheetData>
  <sheetProtection/>
  <mergeCells count="2">
    <mergeCell ref="A3:C3"/>
    <mergeCell ref="A4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S164"/>
  <sheetViews>
    <sheetView tabSelected="1" view="pageBreakPreview" zoomScale="65" zoomScaleNormal="56" zoomScaleSheetLayoutView="65" zoomScalePageLayoutView="0" workbookViewId="0" topLeftCell="A14">
      <pane xSplit="2" topLeftCell="C1" activePane="topRight" state="frozen"/>
      <selection pane="topLeft" activeCell="A50" sqref="A50"/>
      <selection pane="topRight" activeCell="M62" sqref="M62"/>
    </sheetView>
  </sheetViews>
  <sheetFormatPr defaultColWidth="9.00390625" defaultRowHeight="15.75"/>
  <cols>
    <col min="1" max="1" width="10.875" style="1" bestFit="1" customWidth="1"/>
    <col min="2" max="2" width="59.625" style="1" customWidth="1"/>
    <col min="3" max="3" width="13.375" style="1" customWidth="1"/>
    <col min="4" max="4" width="10.125" style="353" customWidth="1"/>
    <col min="5" max="5" width="10.25390625" style="353" customWidth="1"/>
    <col min="6" max="6" width="9.375" style="353" customWidth="1"/>
    <col min="7" max="7" width="8.50390625" style="353" customWidth="1"/>
    <col min="8" max="8" width="10.00390625" style="353" customWidth="1"/>
    <col min="9" max="12" width="9.375" style="353" customWidth="1"/>
    <col min="13" max="13" width="9.375" style="382" customWidth="1"/>
    <col min="14" max="14" width="10.75390625" style="432" customWidth="1"/>
    <col min="15" max="15" width="11.25390625" style="432" customWidth="1"/>
    <col min="16" max="16" width="9.875" style="432" customWidth="1"/>
    <col min="17" max="17" width="11.00390625" style="432" customWidth="1"/>
    <col min="18" max="18" width="14.375" style="1" customWidth="1"/>
    <col min="19" max="19" width="12.25390625" style="1" customWidth="1"/>
    <col min="20" max="20" width="8.75390625" style="1" customWidth="1"/>
    <col min="21" max="22" width="14.375" style="1" customWidth="1"/>
    <col min="23" max="23" width="32.625" style="1" customWidth="1"/>
    <col min="24" max="24" width="19.875" style="1" customWidth="1"/>
    <col min="25" max="27" width="9.00390625" style="129" hidden="1" customWidth="1"/>
    <col min="28" max="29" width="9.00390625" style="1" hidden="1" customWidth="1"/>
    <col min="30" max="30" width="10.375" style="1" hidden="1" customWidth="1"/>
    <col min="31" max="31" width="9.00390625" style="1" hidden="1" customWidth="1"/>
    <col min="32" max="32" width="10.375" style="1" hidden="1" customWidth="1"/>
    <col min="33" max="33" width="9.00390625" style="1" customWidth="1"/>
    <col min="34" max="34" width="15.00390625" style="1" customWidth="1"/>
    <col min="35" max="35" width="9.00390625" style="1" customWidth="1"/>
    <col min="36" max="37" width="10.375" style="1" customWidth="1"/>
    <col min="38" max="38" width="9.00390625" style="1" customWidth="1"/>
    <col min="39" max="40" width="10.375" style="1" bestFit="1" customWidth="1"/>
    <col min="41" max="41" width="9.00390625" style="373" customWidth="1"/>
    <col min="42" max="42" width="9.00390625" style="1" customWidth="1"/>
    <col min="43" max="43" width="11.00390625" style="373" bestFit="1" customWidth="1"/>
    <col min="44" max="44" width="10.375" style="1" bestFit="1" customWidth="1"/>
    <col min="45" max="45" width="9.00390625" style="1" customWidth="1"/>
    <col min="46" max="47" width="10.375" style="1" bestFit="1" customWidth="1"/>
    <col min="48" max="16384" width="9.00390625" style="1" customWidth="1"/>
  </cols>
  <sheetData>
    <row r="1" ht="18.75">
      <c r="W1" s="143" t="s">
        <v>152</v>
      </c>
    </row>
    <row r="2" ht="18.75">
      <c r="W2" s="143" t="s">
        <v>37</v>
      </c>
    </row>
    <row r="3" ht="18.75">
      <c r="W3" s="289" t="s">
        <v>379</v>
      </c>
    </row>
    <row r="4" ht="18.75">
      <c r="W4" s="2"/>
    </row>
    <row r="5" ht="18.75">
      <c r="W5" s="283" t="s">
        <v>38</v>
      </c>
    </row>
    <row r="6" spans="4:43" s="14" customFormat="1" ht="18.75">
      <c r="D6" s="353"/>
      <c r="E6" s="353"/>
      <c r="F6" s="353"/>
      <c r="G6" s="353"/>
      <c r="H6" s="353"/>
      <c r="I6" s="353"/>
      <c r="J6" s="353"/>
      <c r="K6" s="353"/>
      <c r="L6" s="353"/>
      <c r="M6" s="382"/>
      <c r="N6" s="432"/>
      <c r="O6" s="432"/>
      <c r="P6" s="432"/>
      <c r="Q6" s="432"/>
      <c r="S6" s="439"/>
      <c r="W6" s="377" t="s">
        <v>647</v>
      </c>
      <c r="Y6" s="378"/>
      <c r="Z6" s="378"/>
      <c r="AA6" s="378"/>
      <c r="AO6" s="379"/>
      <c r="AQ6" s="379"/>
    </row>
    <row r="7" spans="4:43" s="14" customFormat="1" ht="18.75">
      <c r="D7" s="353"/>
      <c r="E7" s="353"/>
      <c r="F7" s="353"/>
      <c r="G7" s="353"/>
      <c r="H7" s="353"/>
      <c r="I7" s="353"/>
      <c r="J7" s="353"/>
      <c r="K7" s="353"/>
      <c r="L7" s="353"/>
      <c r="M7" s="382"/>
      <c r="N7" s="432"/>
      <c r="O7" s="432"/>
      <c r="P7" s="432"/>
      <c r="Q7" s="432"/>
      <c r="W7" s="377"/>
      <c r="Y7" s="378"/>
      <c r="Z7" s="378"/>
      <c r="AA7" s="378"/>
      <c r="AO7" s="379"/>
      <c r="AQ7" s="379"/>
    </row>
    <row r="8" spans="4:43" s="14" customFormat="1" ht="18.75">
      <c r="D8" s="353"/>
      <c r="E8" s="353"/>
      <c r="F8" s="353"/>
      <c r="G8" s="353"/>
      <c r="H8" s="353"/>
      <c r="I8" s="353"/>
      <c r="J8" s="353"/>
      <c r="K8" s="353"/>
      <c r="L8" s="353"/>
      <c r="M8" s="382"/>
      <c r="N8" s="432"/>
      <c r="O8" s="432"/>
      <c r="P8" s="432"/>
      <c r="Q8" s="432"/>
      <c r="S8" s="380"/>
      <c r="W8" s="377" t="s">
        <v>648</v>
      </c>
      <c r="Y8" s="378"/>
      <c r="Z8" s="378"/>
      <c r="AA8" s="378"/>
      <c r="AO8" s="379"/>
      <c r="AQ8" s="379"/>
    </row>
    <row r="9" spans="1:43" s="14" customFormat="1" ht="18.75">
      <c r="A9" s="381"/>
      <c r="D9" s="353"/>
      <c r="E9" s="353"/>
      <c r="F9" s="353"/>
      <c r="G9" s="353"/>
      <c r="H9" s="353"/>
      <c r="I9" s="353"/>
      <c r="J9" s="353"/>
      <c r="K9" s="353"/>
      <c r="L9" s="353"/>
      <c r="M9" s="382"/>
      <c r="N9" s="432"/>
      <c r="O9" s="432"/>
      <c r="P9" s="432"/>
      <c r="Q9" s="432"/>
      <c r="W9" s="377" t="s">
        <v>795</v>
      </c>
      <c r="Y9" s="378"/>
      <c r="Z9" s="378"/>
      <c r="AA9" s="378"/>
      <c r="AO9" s="379"/>
      <c r="AQ9" s="379"/>
    </row>
    <row r="10" spans="1:43" s="14" customFormat="1" ht="18.75">
      <c r="A10" s="381"/>
      <c r="D10" s="353"/>
      <c r="E10" s="353"/>
      <c r="F10" s="353"/>
      <c r="G10" s="353"/>
      <c r="H10" s="353"/>
      <c r="I10" s="353"/>
      <c r="J10" s="353"/>
      <c r="K10" s="353"/>
      <c r="L10" s="353"/>
      <c r="M10" s="382"/>
      <c r="N10" s="432"/>
      <c r="O10" s="432"/>
      <c r="P10" s="432"/>
      <c r="Q10" s="432"/>
      <c r="W10" s="377" t="s">
        <v>42</v>
      </c>
      <c r="Y10" s="378"/>
      <c r="Z10" s="378"/>
      <c r="AA10" s="378"/>
      <c r="AO10" s="379"/>
      <c r="AQ10" s="379"/>
    </row>
    <row r="11" spans="1:43" s="14" customFormat="1" ht="36" customHeight="1">
      <c r="A11" s="977" t="s">
        <v>156</v>
      </c>
      <c r="B11" s="978"/>
      <c r="C11" s="978"/>
      <c r="D11" s="978"/>
      <c r="E11" s="978"/>
      <c r="F11" s="978"/>
      <c r="G11" s="978"/>
      <c r="H11" s="978"/>
      <c r="I11" s="978"/>
      <c r="J11" s="978"/>
      <c r="K11" s="978"/>
      <c r="L11" s="978"/>
      <c r="M11" s="978"/>
      <c r="N11" s="978"/>
      <c r="O11" s="978"/>
      <c r="P11" s="978"/>
      <c r="Q11" s="978"/>
      <c r="R11" s="978"/>
      <c r="S11" s="978"/>
      <c r="T11" s="978"/>
      <c r="U11" s="978"/>
      <c r="V11" s="978"/>
      <c r="W11" s="978"/>
      <c r="Y11" s="378"/>
      <c r="Z11" s="378"/>
      <c r="AA11" s="378"/>
      <c r="AO11" s="379"/>
      <c r="AQ11" s="379"/>
    </row>
    <row r="12" spans="1:43" s="14" customFormat="1" ht="24" customHeight="1">
      <c r="A12" s="379"/>
      <c r="B12" s="975" t="s">
        <v>651</v>
      </c>
      <c r="C12" s="975"/>
      <c r="D12" s="975"/>
      <c r="E12" s="975"/>
      <c r="F12" s="975"/>
      <c r="G12" s="975"/>
      <c r="H12" s="975"/>
      <c r="I12" s="975"/>
      <c r="J12" s="975"/>
      <c r="K12" s="975"/>
      <c r="L12" s="975"/>
      <c r="M12" s="975"/>
      <c r="N12" s="975"/>
      <c r="O12" s="975"/>
      <c r="P12" s="975"/>
      <c r="Q12" s="975"/>
      <c r="R12" s="975"/>
      <c r="S12" s="975"/>
      <c r="T12" s="975"/>
      <c r="U12" s="975"/>
      <c r="V12" s="975"/>
      <c r="W12" s="975"/>
      <c r="Y12" s="378"/>
      <c r="Z12" s="378"/>
      <c r="AA12" s="378"/>
      <c r="AO12" s="379"/>
      <c r="AQ12" s="379"/>
    </row>
    <row r="13" spans="4:43" s="14" customFormat="1" ht="11.25" customHeight="1" thickBot="1">
      <c r="D13" s="353"/>
      <c r="E13" s="433"/>
      <c r="F13" s="353"/>
      <c r="G13" s="353"/>
      <c r="H13" s="353"/>
      <c r="I13" s="353"/>
      <c r="J13" s="353"/>
      <c r="K13" s="353"/>
      <c r="L13" s="353"/>
      <c r="M13" s="382"/>
      <c r="N13" s="432"/>
      <c r="O13" s="432"/>
      <c r="P13" s="432"/>
      <c r="Q13" s="432"/>
      <c r="Y13" s="378"/>
      <c r="Z13" s="378"/>
      <c r="AA13" s="378"/>
      <c r="AO13" s="379"/>
      <c r="AQ13" s="379"/>
    </row>
    <row r="14" spans="1:23" ht="126" customHeight="1">
      <c r="A14" s="914" t="s">
        <v>251</v>
      </c>
      <c r="B14" s="917" t="s">
        <v>274</v>
      </c>
      <c r="C14" s="976" t="s">
        <v>105</v>
      </c>
      <c r="D14" s="976" t="s">
        <v>609</v>
      </c>
      <c r="E14" s="976"/>
      <c r="F14" s="976"/>
      <c r="G14" s="976"/>
      <c r="H14" s="976"/>
      <c r="I14" s="976"/>
      <c r="J14" s="976"/>
      <c r="K14" s="976"/>
      <c r="L14" s="976"/>
      <c r="M14" s="976"/>
      <c r="N14" s="976" t="s">
        <v>70</v>
      </c>
      <c r="O14" s="976"/>
      <c r="P14" s="967" t="s">
        <v>380</v>
      </c>
      <c r="Q14" s="968"/>
      <c r="R14" s="917" t="s">
        <v>106</v>
      </c>
      <c r="S14" s="917" t="s">
        <v>355</v>
      </c>
      <c r="T14" s="917"/>
      <c r="U14" s="917"/>
      <c r="V14" s="917"/>
      <c r="W14" s="925" t="s">
        <v>253</v>
      </c>
    </row>
    <row r="15" spans="1:23" ht="31.5" customHeight="1">
      <c r="A15" s="915"/>
      <c r="B15" s="910"/>
      <c r="C15" s="964"/>
      <c r="D15" s="964" t="s">
        <v>254</v>
      </c>
      <c r="E15" s="964"/>
      <c r="F15" s="965" t="s">
        <v>255</v>
      </c>
      <c r="G15" s="965"/>
      <c r="H15" s="971" t="s">
        <v>256</v>
      </c>
      <c r="I15" s="971"/>
      <c r="J15" s="972" t="s">
        <v>257</v>
      </c>
      <c r="K15" s="972"/>
      <c r="L15" s="979" t="s">
        <v>258</v>
      </c>
      <c r="M15" s="979"/>
      <c r="N15" s="964"/>
      <c r="O15" s="964"/>
      <c r="P15" s="969"/>
      <c r="Q15" s="970"/>
      <c r="R15" s="910"/>
      <c r="S15" s="910" t="s">
        <v>292</v>
      </c>
      <c r="T15" s="910" t="s">
        <v>349</v>
      </c>
      <c r="U15" s="910" t="s">
        <v>347</v>
      </c>
      <c r="V15" s="910"/>
      <c r="W15" s="966"/>
    </row>
    <row r="16" spans="1:37" ht="81.75" customHeight="1">
      <c r="A16" s="915"/>
      <c r="B16" s="910"/>
      <c r="C16" s="964"/>
      <c r="D16" s="476" t="s">
        <v>363</v>
      </c>
      <c r="E16" s="477" t="s">
        <v>364</v>
      </c>
      <c r="F16" s="696" t="s">
        <v>259</v>
      </c>
      <c r="G16" s="696" t="s">
        <v>260</v>
      </c>
      <c r="H16" s="699" t="s">
        <v>259</v>
      </c>
      <c r="I16" s="699" t="s">
        <v>260</v>
      </c>
      <c r="J16" s="701" t="s">
        <v>259</v>
      </c>
      <c r="K16" s="701" t="s">
        <v>260</v>
      </c>
      <c r="L16" s="848" t="s">
        <v>259</v>
      </c>
      <c r="M16" s="849" t="s">
        <v>260</v>
      </c>
      <c r="N16" s="477" t="s">
        <v>254</v>
      </c>
      <c r="O16" s="476" t="s">
        <v>67</v>
      </c>
      <c r="P16" s="477" t="s">
        <v>254</v>
      </c>
      <c r="Q16" s="476" t="s">
        <v>69</v>
      </c>
      <c r="R16" s="910"/>
      <c r="S16" s="910"/>
      <c r="T16" s="910"/>
      <c r="U16" s="12" t="s">
        <v>346</v>
      </c>
      <c r="V16" s="12" t="s">
        <v>348</v>
      </c>
      <c r="W16" s="966"/>
      <c r="Y16" s="941" t="s">
        <v>548</v>
      </c>
      <c r="Z16" s="941"/>
      <c r="AA16" s="941"/>
      <c r="AD16" s="1" t="b">
        <f>AC19-AC19/1.18=8!D32</f>
        <v>0</v>
      </c>
      <c r="AI16" s="941"/>
      <c r="AJ16" s="941"/>
      <c r="AK16" s="941"/>
    </row>
    <row r="17" spans="1:37" ht="18.75">
      <c r="A17" s="23"/>
      <c r="B17" s="22" t="s">
        <v>275</v>
      </c>
      <c r="C17" s="201">
        <f>C18+C35</f>
        <v>370.82363676</v>
      </c>
      <c r="D17" s="201">
        <f aca="true" t="shared" si="0" ref="D17:S17">D18+D35</f>
        <v>131.52331012</v>
      </c>
      <c r="E17" s="201">
        <f t="shared" si="0"/>
        <v>131.400543487</v>
      </c>
      <c r="F17" s="697">
        <f>8!E44</f>
        <v>22.124803626779066</v>
      </c>
      <c r="G17" s="697">
        <f t="shared" si="0"/>
        <v>54.2578628496</v>
      </c>
      <c r="H17" s="700">
        <f>8!G44</f>
        <v>27.925024668185287</v>
      </c>
      <c r="I17" s="700">
        <f t="shared" si="0"/>
        <v>34.499833550000005</v>
      </c>
      <c r="J17" s="702">
        <f>8!I44</f>
        <v>52.26299786473246</v>
      </c>
      <c r="K17" s="702">
        <f t="shared" si="0"/>
        <v>29.275412497400005</v>
      </c>
      <c r="L17" s="850">
        <f>8!K44</f>
        <v>29.21048396030315</v>
      </c>
      <c r="M17" s="850">
        <f t="shared" si="0"/>
        <v>13.36743459</v>
      </c>
      <c r="N17" s="201">
        <f t="shared" si="0"/>
        <v>89.78050460380001</v>
      </c>
      <c r="O17" s="201">
        <f t="shared" si="0"/>
        <v>10.7503299408</v>
      </c>
      <c r="P17" s="201">
        <f t="shared" si="0"/>
        <v>94.79965974839999</v>
      </c>
      <c r="Q17" s="201">
        <f t="shared" si="0"/>
        <v>36.3900333812</v>
      </c>
      <c r="R17" s="201">
        <f t="shared" si="0"/>
        <v>239.423093273</v>
      </c>
      <c r="S17" s="201">
        <f t="shared" si="0"/>
        <v>0.12276663300000301</v>
      </c>
      <c r="T17" s="196"/>
      <c r="U17" s="196"/>
      <c r="V17" s="196"/>
      <c r="W17" s="5"/>
      <c r="AI17" s="743">
        <f>D17-(F17+H17+J17+L17)</f>
        <v>0</v>
      </c>
      <c r="AJ17" s="744">
        <f>C17-E17-R17</f>
        <v>0</v>
      </c>
      <c r="AK17" s="744">
        <f>D17-E17-S17</f>
        <v>-5.329070518200751E-15</v>
      </c>
    </row>
    <row r="18" spans="1:38" ht="18.75">
      <c r="A18" s="23" t="s">
        <v>237</v>
      </c>
      <c r="B18" s="22" t="s">
        <v>354</v>
      </c>
      <c r="C18" s="201">
        <f>C19+C24+C27</f>
        <v>197.36051969000005</v>
      </c>
      <c r="D18" s="201">
        <f aca="true" t="shared" si="1" ref="D18:S18">D19+D24+D27</f>
        <v>68.15169012</v>
      </c>
      <c r="E18" s="201">
        <f t="shared" si="1"/>
        <v>78.035960937</v>
      </c>
      <c r="F18" s="697">
        <f t="shared" si="1"/>
        <v>9.962405944889374</v>
      </c>
      <c r="G18" s="697">
        <f t="shared" si="1"/>
        <v>20.950299149599996</v>
      </c>
      <c r="H18" s="700">
        <f t="shared" si="1"/>
        <v>12.574142417643325</v>
      </c>
      <c r="I18" s="700">
        <f t="shared" si="1"/>
        <v>34.499833550000005</v>
      </c>
      <c r="J18" s="702">
        <f t="shared" si="1"/>
        <v>25.343320601090433</v>
      </c>
      <c r="K18" s="702">
        <f t="shared" si="1"/>
        <v>19.745789527400003</v>
      </c>
      <c r="L18" s="850">
        <f t="shared" si="1"/>
        <v>20.271788176376862</v>
      </c>
      <c r="M18" s="850">
        <f t="shared" si="1"/>
        <v>2.84003871</v>
      </c>
      <c r="N18" s="201">
        <f t="shared" si="1"/>
        <v>47.3075239034</v>
      </c>
      <c r="O18" s="201">
        <f t="shared" si="1"/>
        <v>7.7119874208</v>
      </c>
      <c r="P18" s="201">
        <f t="shared" si="1"/>
        <v>94.79965974839999</v>
      </c>
      <c r="Q18" s="201">
        <f t="shared" si="1"/>
        <v>36.3900333812</v>
      </c>
      <c r="R18" s="201">
        <f t="shared" si="1"/>
        <v>119.324558753</v>
      </c>
      <c r="S18" s="201">
        <f t="shared" si="1"/>
        <v>-9.884270816999999</v>
      </c>
      <c r="T18" s="196"/>
      <c r="U18" s="196"/>
      <c r="V18" s="196"/>
      <c r="W18" s="5"/>
      <c r="Y18" s="129" t="s">
        <v>549</v>
      </c>
      <c r="Z18" s="129" t="s">
        <v>550</v>
      </c>
      <c r="AA18" s="129" t="s">
        <v>551</v>
      </c>
      <c r="AB18" s="359" t="s">
        <v>552</v>
      </c>
      <c r="AI18" s="743">
        <f>D18-(F18+H18+J18+L18)</f>
        <v>3.298000000029333E-05</v>
      </c>
      <c r="AJ18" s="744">
        <f aca="true" t="shared" si="2" ref="AJ18:AJ42">C18-E18-R18</f>
        <v>0</v>
      </c>
      <c r="AK18" s="744">
        <f aca="true" t="shared" si="3" ref="AK18:AK42">D18-E18-S18</f>
        <v>0</v>
      </c>
      <c r="AL18" s="359"/>
    </row>
    <row r="19" spans="1:45" ht="31.5" customHeight="1">
      <c r="A19" s="63" t="s">
        <v>238</v>
      </c>
      <c r="B19" s="22" t="s">
        <v>351</v>
      </c>
      <c r="C19" s="201">
        <f>SUM(C20:C23)</f>
        <v>183.53878958000004</v>
      </c>
      <c r="D19" s="201">
        <f aca="true" t="shared" si="4" ref="D19:S19">SUM(D20:D23)</f>
        <v>59.762</v>
      </c>
      <c r="E19" s="201">
        <f t="shared" si="4"/>
        <v>70.0114682028</v>
      </c>
      <c r="F19" s="697">
        <f>SUM(F20:F23)</f>
        <v>8.352242048746975</v>
      </c>
      <c r="G19" s="697">
        <f t="shared" si="4"/>
        <v>19.784325749599997</v>
      </c>
      <c r="H19" s="700">
        <f t="shared" si="4"/>
        <v>10.54185922643004</v>
      </c>
      <c r="I19" s="700">
        <f t="shared" si="4"/>
        <v>32.248036400000004</v>
      </c>
      <c r="J19" s="702">
        <f t="shared" si="4"/>
        <v>21.779459793425474</v>
      </c>
      <c r="K19" s="702">
        <f t="shared" si="4"/>
        <v>17.385780243200003</v>
      </c>
      <c r="L19" s="850">
        <f t="shared" si="4"/>
        <v>19.088405951397505</v>
      </c>
      <c r="M19" s="850">
        <f t="shared" si="4"/>
        <v>0.5933258100000001</v>
      </c>
      <c r="N19" s="201">
        <f t="shared" si="4"/>
        <v>39.283031323</v>
      </c>
      <c r="O19" s="201">
        <f t="shared" si="4"/>
        <v>6.2839186404</v>
      </c>
      <c r="P19" s="201">
        <f t="shared" si="4"/>
        <v>92.46810372979999</v>
      </c>
      <c r="Q19" s="201">
        <f t="shared" si="4"/>
        <v>36.3900333812</v>
      </c>
      <c r="R19" s="201">
        <f t="shared" si="4"/>
        <v>113.5273213772</v>
      </c>
      <c r="S19" s="201">
        <f t="shared" si="4"/>
        <v>-10.2494682028</v>
      </c>
      <c r="T19" s="196"/>
      <c r="U19" s="196"/>
      <c r="V19" s="196"/>
      <c r="W19" s="340"/>
      <c r="X19" s="294"/>
      <c r="Y19" s="129">
        <f>SUM(Y39:Y40)</f>
        <v>0</v>
      </c>
      <c r="Z19" s="349">
        <f>SUM(Z39:Z40)</f>
        <v>0</v>
      </c>
      <c r="AA19" s="349">
        <f>SUM(AA39:AA40)</f>
        <v>5.616858999999999</v>
      </c>
      <c r="AB19" s="349">
        <f>SUM(AB39:AB40)</f>
        <v>0.14086</v>
      </c>
      <c r="AC19" s="294">
        <f>Y19+Z19+AA19+AB19</f>
        <v>5.757718999999999</v>
      </c>
      <c r="AD19" s="1" t="b">
        <f>AC19=N19</f>
        <v>0</v>
      </c>
      <c r="AE19" s="294">
        <f>N19-(Y19+Z19+AA19)</f>
        <v>33.666172323000005</v>
      </c>
      <c r="AF19" s="360" t="b">
        <f>AB19=AE19</f>
        <v>0</v>
      </c>
      <c r="AI19" s="743">
        <f>D19-(F19+H19+J19+L19)</f>
        <v>3.298000000739876E-05</v>
      </c>
      <c r="AJ19" s="744">
        <f t="shared" si="2"/>
        <v>0</v>
      </c>
      <c r="AK19" s="744">
        <f t="shared" si="3"/>
        <v>0</v>
      </c>
      <c r="AL19" s="376"/>
      <c r="AM19" s="485"/>
      <c r="AN19" s="372"/>
      <c r="AO19" s="374"/>
      <c r="AP19" s="374"/>
      <c r="AQ19" s="374"/>
      <c r="AS19" s="372"/>
    </row>
    <row r="20" spans="1:45" s="353" customFormat="1" ht="36" customHeight="1">
      <c r="A20" s="367" t="s">
        <v>381</v>
      </c>
      <c r="B20" s="368" t="s">
        <v>662</v>
      </c>
      <c r="C20" s="295">
        <v>80.95108558000001</v>
      </c>
      <c r="D20" s="295">
        <v>40.5</v>
      </c>
      <c r="E20" s="295">
        <f>G20+I20+K20+M20</f>
        <v>52.20796401</v>
      </c>
      <c r="F20" s="698">
        <f>8!$C$84/8!$M$84*'7.1'!D20</f>
        <v>7.772830326391978</v>
      </c>
      <c r="G20" s="698">
        <f>18.30164841</f>
        <v>18.30164841</v>
      </c>
      <c r="H20" s="602">
        <f>8!$F$84/8!$M$84*'7.1'!D20</f>
        <v>9.810549384646169</v>
      </c>
      <c r="I20" s="602">
        <f>29.75</f>
        <v>29.75</v>
      </c>
      <c r="J20" s="687">
        <f>8!$I$84/8!$M$84*'7.1'!D20</f>
        <v>17.204015958390467</v>
      </c>
      <c r="K20" s="687">
        <f>5.75-1.35058*1.18</f>
        <v>4.1563156</v>
      </c>
      <c r="L20" s="851">
        <f>8!$K$84/8!$M$84*'7.1'!D20</f>
        <v>5.7126043305713825</v>
      </c>
      <c r="M20" s="851">
        <v>0</v>
      </c>
      <c r="N20" s="295">
        <f>3.10854808*1.18+20.11905*1.18+4.86224946*1.18</f>
        <v>33.1460200972</v>
      </c>
      <c r="O20" s="295">
        <f>4.86224946*1.18</f>
        <v>5.737454362799999</v>
      </c>
      <c r="P20" s="295">
        <f>5.09805989*1.18+25.56078217*1.18+6.74309472*1.18+25.74095144*1.18+5.0980599*1.18</f>
        <v>80.5243187816</v>
      </c>
      <c r="Q20" s="295">
        <f>25.74095144*1.18+5.0980599*1.18</f>
        <v>36.3900333812</v>
      </c>
      <c r="R20" s="295">
        <f>C20-G20-I20-K20-M20</f>
        <v>28.743121570000014</v>
      </c>
      <c r="S20" s="295">
        <f>D20-E20</f>
        <v>-11.707964009999998</v>
      </c>
      <c r="T20" s="341">
        <f>S20/D20</f>
        <v>-0.28908553111111107</v>
      </c>
      <c r="U20" s="341"/>
      <c r="V20" s="341"/>
      <c r="W20" s="691"/>
      <c r="X20" s="576"/>
      <c r="Y20" s="577"/>
      <c r="Z20" s="577"/>
      <c r="AA20" s="383"/>
      <c r="AB20" s="578"/>
      <c r="AC20" s="433"/>
      <c r="AE20" s="433"/>
      <c r="AF20" s="438"/>
      <c r="AH20" s="579"/>
      <c r="AI20" s="692">
        <f>D20-(F20+H20+J20+L20)</f>
        <v>0</v>
      </c>
      <c r="AJ20" s="744">
        <f t="shared" si="2"/>
        <v>0</v>
      </c>
      <c r="AK20" s="744">
        <f t="shared" si="3"/>
        <v>0</v>
      </c>
      <c r="AL20" s="578"/>
      <c r="AM20" s="580"/>
      <c r="AN20" s="581"/>
      <c r="AO20" s="582"/>
      <c r="AP20" s="581"/>
      <c r="AQ20" s="583"/>
      <c r="AR20" s="438"/>
      <c r="AS20" s="581"/>
    </row>
    <row r="21" spans="1:45" s="353" customFormat="1" ht="18.75">
      <c r="A21" s="367" t="s">
        <v>382</v>
      </c>
      <c r="B21" s="368" t="s">
        <v>617</v>
      </c>
      <c r="C21" s="295">
        <v>3.019</v>
      </c>
      <c r="D21" s="295">
        <v>3.019</v>
      </c>
      <c r="E21" s="295">
        <f>G21+I21+K21+M21</f>
        <v>2.9693806032</v>
      </c>
      <c r="F21" s="698">
        <f>8!$C$84/8!$M$84*'7.1'!D21</f>
        <v>0.5794117223549972</v>
      </c>
      <c r="G21" s="698">
        <v>0</v>
      </c>
      <c r="H21" s="602">
        <f>8!$F$84/8!$M$84*'7.1'!D21</f>
        <v>0.7313098417838713</v>
      </c>
      <c r="I21" s="602">
        <v>2.4980364</v>
      </c>
      <c r="J21" s="687">
        <f>8!$I$84/8!$M$84*'7.1'!D21</f>
        <v>1.2824425723056994</v>
      </c>
      <c r="K21" s="687">
        <f>(0.000125+0.000155+0.00032+0.0004+0.16525424)*1.18</f>
        <v>0.19618000319999998</v>
      </c>
      <c r="L21" s="851">
        <f>8!$K$84/8!$M$84*'7.1'!D21</f>
        <v>0.4258358635554322</v>
      </c>
      <c r="M21" s="851">
        <f>0.2751642</f>
        <v>0.2751642</v>
      </c>
      <c r="N21" s="295">
        <f>2.10664*1.18+0.10824*1.18+0.13529*1.18+(0.000125+0.000155+0.00032+0.0004+0.16525424)*1.18</f>
        <v>2.9693806032</v>
      </c>
      <c r="O21" s="295">
        <v>0</v>
      </c>
      <c r="P21" s="295">
        <f>2.51642424*1.18</f>
        <v>2.9693806032</v>
      </c>
      <c r="Q21" s="295">
        <v>0</v>
      </c>
      <c r="R21" s="295">
        <f>C21-G21-I21-K21-M21</f>
        <v>0.04961939679999999</v>
      </c>
      <c r="S21" s="295">
        <f>D21-E21</f>
        <v>0.04961939680000027</v>
      </c>
      <c r="T21" s="341">
        <f>S21/D21</f>
        <v>0.016435706127856994</v>
      </c>
      <c r="U21" s="341"/>
      <c r="V21" s="341"/>
      <c r="W21" s="371"/>
      <c r="X21" s="576"/>
      <c r="Y21" s="577">
        <v>0</v>
      </c>
      <c r="Z21" s="580">
        <v>1.769506</v>
      </c>
      <c r="AA21" s="383">
        <v>3.6715440069999996</v>
      </c>
      <c r="AB21" s="578">
        <f>O21</f>
        <v>0</v>
      </c>
      <c r="AC21" s="433">
        <f>Y21+Z21+AA21+AB21</f>
        <v>5.441050006999999</v>
      </c>
      <c r="AD21" s="353" t="b">
        <f>AC21=N21</f>
        <v>0</v>
      </c>
      <c r="AE21" s="433">
        <f>N21-(Y21+Z21+AA21)</f>
        <v>-2.4716694037999996</v>
      </c>
      <c r="AF21" s="438" t="b">
        <f>AB21=AE21</f>
        <v>0</v>
      </c>
      <c r="AH21" s="579"/>
      <c r="AI21" s="692">
        <f aca="true" t="shared" si="5" ref="AI21:AI49">D21-(F21+H21+J21+L21)</f>
        <v>0</v>
      </c>
      <c r="AJ21" s="744">
        <f t="shared" si="2"/>
        <v>2.7755575615628914E-16</v>
      </c>
      <c r="AK21" s="744">
        <f t="shared" si="3"/>
        <v>0</v>
      </c>
      <c r="AL21" s="578"/>
      <c r="AM21" s="580"/>
      <c r="AN21" s="581"/>
      <c r="AO21" s="582"/>
      <c r="AP21" s="581"/>
      <c r="AQ21" s="583"/>
      <c r="AR21" s="438"/>
      <c r="AS21" s="581"/>
    </row>
    <row r="22" spans="1:45" s="732" customFormat="1" ht="70.5" customHeight="1">
      <c r="A22" s="723" t="s">
        <v>383</v>
      </c>
      <c r="B22" s="497" t="s">
        <v>665</v>
      </c>
      <c r="C22" s="297">
        <v>97.652</v>
      </c>
      <c r="D22" s="297">
        <v>16.243</v>
      </c>
      <c r="E22" s="297">
        <f>G22+I22+K22+M22</f>
        <v>12.983015250000001</v>
      </c>
      <c r="F22" s="708">
        <f>8!C86</f>
        <v>0</v>
      </c>
      <c r="G22" s="708">
        <v>0</v>
      </c>
      <c r="H22" s="709">
        <f>8!F86</f>
        <v>0</v>
      </c>
      <c r="I22" s="709">
        <v>0</v>
      </c>
      <c r="J22" s="710">
        <f>8!I86</f>
        <v>3.2930012627293057</v>
      </c>
      <c r="K22" s="710">
        <f>12.66485364</f>
        <v>12.66485364</v>
      </c>
      <c r="L22" s="852">
        <f>8!K86</f>
        <v>12.94996575727069</v>
      </c>
      <c r="M22" s="852">
        <v>0.31816161</v>
      </c>
      <c r="N22" s="297">
        <f>0.46310532*1.18</f>
        <v>0.5464642775999999</v>
      </c>
      <c r="O22" s="297">
        <f>0.46310532*1.18</f>
        <v>0.5464642775999999</v>
      </c>
      <c r="P22" s="297">
        <v>0</v>
      </c>
      <c r="Q22" s="297">
        <v>0</v>
      </c>
      <c r="R22" s="297">
        <f>C22-G22-I22-K22-M22</f>
        <v>84.66898474999999</v>
      </c>
      <c r="S22" s="297">
        <f>D22-E22</f>
        <v>3.2599847499999974</v>
      </c>
      <c r="T22" s="711">
        <f>S22/D22</f>
        <v>0.20070090192698378</v>
      </c>
      <c r="U22" s="711"/>
      <c r="V22" s="724"/>
      <c r="W22" s="725"/>
      <c r="X22" s="726"/>
      <c r="Y22" s="727"/>
      <c r="Z22" s="728"/>
      <c r="AA22" s="729"/>
      <c r="AB22" s="730"/>
      <c r="AC22" s="731"/>
      <c r="AE22" s="731"/>
      <c r="AF22" s="733"/>
      <c r="AH22" s="734"/>
      <c r="AI22" s="745">
        <f>D22-(F22+H22+J22+L22)</f>
        <v>3.2980000003846044E-05</v>
      </c>
      <c r="AJ22" s="744">
        <f t="shared" si="2"/>
        <v>0</v>
      </c>
      <c r="AK22" s="744">
        <f t="shared" si="3"/>
        <v>0</v>
      </c>
      <c r="AL22" s="730"/>
      <c r="AM22" s="728"/>
      <c r="AN22" s="735"/>
      <c r="AO22" s="736"/>
      <c r="AP22" s="735"/>
      <c r="AQ22" s="736"/>
      <c r="AR22" s="733"/>
      <c r="AS22" s="735"/>
    </row>
    <row r="23" spans="1:45" s="353" customFormat="1" ht="18.75">
      <c r="A23" s="367" t="s">
        <v>385</v>
      </c>
      <c r="B23" s="368" t="s">
        <v>645</v>
      </c>
      <c r="C23" s="295">
        <v>1.9167039999999984</v>
      </c>
      <c r="D23" s="295">
        <v>0</v>
      </c>
      <c r="E23" s="295">
        <f>G23+I23+K23+M23</f>
        <v>1.8511083395999997</v>
      </c>
      <c r="F23" s="698">
        <v>0</v>
      </c>
      <c r="G23" s="698">
        <f>0.03061958*1.18+(1.60898664*1.18-0.452058)</f>
        <v>1.4826773395999997</v>
      </c>
      <c r="H23" s="602">
        <v>0</v>
      </c>
      <c r="I23" s="602">
        <v>0</v>
      </c>
      <c r="J23" s="687">
        <v>0</v>
      </c>
      <c r="K23" s="687">
        <v>0.368431</v>
      </c>
      <c r="L23" s="851">
        <v>0</v>
      </c>
      <c r="M23" s="851">
        <v>0</v>
      </c>
      <c r="N23" s="295">
        <f>0.26949153*1.18+0.368431+1.60898664*1.18+0.03061958*1.18</f>
        <v>2.621166345</v>
      </c>
      <c r="O23" s="295">
        <v>0</v>
      </c>
      <c r="P23" s="295">
        <f>5.3841*1.18+0.26949153*1.18+0.03061958*1.18+1.60898664*1.18+0.368431</f>
        <v>8.974404345</v>
      </c>
      <c r="Q23" s="295">
        <v>0</v>
      </c>
      <c r="R23" s="295">
        <f>C23-G23-I23-K23-M23</f>
        <v>0.0655956603999987</v>
      </c>
      <c r="S23" s="295">
        <f>D23-E23</f>
        <v>-1.8511083395999997</v>
      </c>
      <c r="T23" s="341">
        <v>0</v>
      </c>
      <c r="U23" s="341"/>
      <c r="V23" s="341"/>
      <c r="W23" s="370"/>
      <c r="X23" s="576"/>
      <c r="Y23" s="577"/>
      <c r="Z23" s="577"/>
      <c r="AA23" s="383"/>
      <c r="AB23" s="578">
        <f>O23</f>
        <v>0</v>
      </c>
      <c r="AC23" s="433"/>
      <c r="AE23" s="433"/>
      <c r="AF23" s="438"/>
      <c r="AH23" s="579"/>
      <c r="AI23" s="692">
        <f t="shared" si="5"/>
        <v>0</v>
      </c>
      <c r="AJ23" s="744">
        <f t="shared" si="2"/>
        <v>0</v>
      </c>
      <c r="AK23" s="744">
        <f t="shared" si="3"/>
        <v>0</v>
      </c>
      <c r="AL23" s="694"/>
      <c r="AM23" s="580"/>
      <c r="AN23" s="581"/>
      <c r="AO23" s="582"/>
      <c r="AP23" s="581"/>
      <c r="AQ23" s="583"/>
      <c r="AR23" s="438"/>
      <c r="AS23" s="581"/>
    </row>
    <row r="24" spans="1:45" s="13" customFormat="1" ht="24" customHeight="1">
      <c r="A24" s="871" t="s">
        <v>239</v>
      </c>
      <c r="B24" s="843" t="s">
        <v>666</v>
      </c>
      <c r="C24" s="339">
        <f>SUM(C25:C26)</f>
        <v>1.866241</v>
      </c>
      <c r="D24" s="339">
        <f aca="true" t="shared" si="6" ref="D24:S24">SUM(D25:D26)</f>
        <v>1.866241</v>
      </c>
      <c r="E24" s="339">
        <f t="shared" si="6"/>
        <v>1.7315560142</v>
      </c>
      <c r="F24" s="697">
        <f t="shared" si="6"/>
        <v>0.35817221336187877</v>
      </c>
      <c r="G24" s="697">
        <f t="shared" si="6"/>
        <v>0</v>
      </c>
      <c r="H24" s="700">
        <f t="shared" si="6"/>
        <v>0.4520703578802827</v>
      </c>
      <c r="I24" s="700">
        <f t="shared" si="6"/>
        <v>0</v>
      </c>
      <c r="J24" s="702">
        <f t="shared" si="6"/>
        <v>0.7927614801531502</v>
      </c>
      <c r="K24" s="702">
        <f t="shared" si="6"/>
        <v>0.9129119442</v>
      </c>
      <c r="L24" s="850">
        <f t="shared" si="6"/>
        <v>0.26323694860468805</v>
      </c>
      <c r="M24" s="850">
        <f t="shared" si="6"/>
        <v>0.81864407</v>
      </c>
      <c r="N24" s="339">
        <f t="shared" si="6"/>
        <v>1.7315560142</v>
      </c>
      <c r="O24" s="339">
        <f t="shared" si="6"/>
        <v>0</v>
      </c>
      <c r="P24" s="339">
        <f t="shared" si="6"/>
        <v>1.7315560142</v>
      </c>
      <c r="Q24" s="339">
        <f t="shared" si="6"/>
        <v>0</v>
      </c>
      <c r="R24" s="339">
        <f t="shared" si="6"/>
        <v>0.1346849858</v>
      </c>
      <c r="S24" s="339">
        <f t="shared" si="6"/>
        <v>0.1346849858</v>
      </c>
      <c r="T24" s="351"/>
      <c r="U24" s="351"/>
      <c r="V24" s="562"/>
      <c r="W24" s="563"/>
      <c r="X24" s="564"/>
      <c r="Y24" s="124"/>
      <c r="Z24" s="565"/>
      <c r="AA24" s="566"/>
      <c r="AB24" s="567"/>
      <c r="AC24" s="568"/>
      <c r="AE24" s="568"/>
      <c r="AF24" s="569"/>
      <c r="AH24" s="570"/>
      <c r="AI24" s="677">
        <f t="shared" si="5"/>
        <v>0</v>
      </c>
      <c r="AJ24" s="744">
        <f t="shared" si="2"/>
        <v>0</v>
      </c>
      <c r="AK24" s="744">
        <f t="shared" si="3"/>
        <v>0</v>
      </c>
      <c r="AL24" s="567"/>
      <c r="AM24" s="565"/>
      <c r="AN24" s="571"/>
      <c r="AO24" s="572"/>
      <c r="AP24" s="571"/>
      <c r="AQ24" s="573"/>
      <c r="AR24" s="569"/>
      <c r="AS24" s="571"/>
    </row>
    <row r="25" spans="1:45" ht="36.75" customHeight="1">
      <c r="A25" s="367" t="s">
        <v>667</v>
      </c>
      <c r="B25" s="368" t="s">
        <v>663</v>
      </c>
      <c r="C25" s="295">
        <v>0.752314</v>
      </c>
      <c r="D25" s="295">
        <v>0.752314</v>
      </c>
      <c r="E25" s="295">
        <f>G25+I25+K25+M25</f>
        <v>0.8657780071</v>
      </c>
      <c r="F25" s="698">
        <f>8!$C$84/8!$M$84*'7.1'!D25</f>
        <v>0.14438540923874704</v>
      </c>
      <c r="G25" s="698">
        <v>0</v>
      </c>
      <c r="H25" s="602">
        <f>8!$F$84/8!$M$84*'7.1'!D25</f>
        <v>0.1822373740681654</v>
      </c>
      <c r="I25" s="602">
        <v>0</v>
      </c>
      <c r="J25" s="687">
        <f>8!$I$84/8!$M$84*'7.1'!D25</f>
        <v>0.31957585337581645</v>
      </c>
      <c r="K25" s="687">
        <f>((1.59229826-0.81864407)/2)*1.18</f>
        <v>0.4564559721</v>
      </c>
      <c r="L25" s="851">
        <f>8!$K$84/8!$M$84*'7.1'!D25</f>
        <v>0.10611536331727109</v>
      </c>
      <c r="M25" s="851">
        <f>0.81864407/2</f>
        <v>0.409322035</v>
      </c>
      <c r="N25" s="295">
        <f aca="true" t="shared" si="7" ref="N25:P26">0.81864407/2+((1.59229826-0.81864407)/2)*1.18</f>
        <v>0.8657780071</v>
      </c>
      <c r="O25" s="295">
        <v>0</v>
      </c>
      <c r="P25" s="295">
        <f t="shared" si="7"/>
        <v>0.8657780071</v>
      </c>
      <c r="Q25" s="295">
        <v>0</v>
      </c>
      <c r="R25" s="295">
        <f>C25-G25-I25-K25-M25</f>
        <v>-0.11346400709999993</v>
      </c>
      <c r="S25" s="295">
        <f>D25-E25</f>
        <v>-0.11346400709999993</v>
      </c>
      <c r="T25" s="341">
        <f>S25/D25</f>
        <v>-0.15082001278721374</v>
      </c>
      <c r="U25" s="341"/>
      <c r="V25" s="341"/>
      <c r="W25" s="370"/>
      <c r="X25" s="549"/>
      <c r="AA25" s="343"/>
      <c r="AB25" s="361">
        <f>O25</f>
        <v>0</v>
      </c>
      <c r="AC25" s="294"/>
      <c r="AE25" s="294"/>
      <c r="AF25" s="360"/>
      <c r="AH25" s="384"/>
      <c r="AI25" s="677">
        <f t="shared" si="5"/>
        <v>0</v>
      </c>
      <c r="AJ25" s="744">
        <f t="shared" si="2"/>
        <v>0</v>
      </c>
      <c r="AK25" s="744">
        <f t="shared" si="3"/>
        <v>0</v>
      </c>
      <c r="AL25" s="365"/>
      <c r="AM25" s="349"/>
      <c r="AN25" s="372"/>
      <c r="AO25" s="375"/>
      <c r="AP25" s="372"/>
      <c r="AQ25" s="374"/>
      <c r="AR25" s="360"/>
      <c r="AS25" s="372"/>
    </row>
    <row r="26" spans="1:45" ht="42.75" customHeight="1">
      <c r="A26" s="367" t="s">
        <v>668</v>
      </c>
      <c r="B26" s="368" t="s">
        <v>664</v>
      </c>
      <c r="C26" s="295">
        <v>1.113927</v>
      </c>
      <c r="D26" s="295">
        <v>1.113927</v>
      </c>
      <c r="E26" s="295">
        <f>G26+I26+K26+M26</f>
        <v>0.8657780071</v>
      </c>
      <c r="F26" s="698">
        <f>8!$C$84/8!$M$84*'7.1'!D26</f>
        <v>0.21378680412313175</v>
      </c>
      <c r="G26" s="698">
        <v>0</v>
      </c>
      <c r="H26" s="602">
        <f>8!$F$84/8!$M$84*'7.1'!D26</f>
        <v>0.26983298381211734</v>
      </c>
      <c r="I26" s="602">
        <v>0</v>
      </c>
      <c r="J26" s="687">
        <f>8!$I$84/8!$M$84*'7.1'!D26</f>
        <v>0.4731856267773338</v>
      </c>
      <c r="K26" s="687">
        <f>((1.59229826-0.81864407)/2)*1.18</f>
        <v>0.4564559721</v>
      </c>
      <c r="L26" s="851">
        <f>8!$K$84/8!$M$84*'7.1'!D26</f>
        <v>0.15712158528741696</v>
      </c>
      <c r="M26" s="851">
        <f>0.81864407/2</f>
        <v>0.409322035</v>
      </c>
      <c r="N26" s="295">
        <f t="shared" si="7"/>
        <v>0.8657780071</v>
      </c>
      <c r="O26" s="295">
        <v>0</v>
      </c>
      <c r="P26" s="295">
        <f t="shared" si="7"/>
        <v>0.8657780071</v>
      </c>
      <c r="Q26" s="295">
        <v>0</v>
      </c>
      <c r="R26" s="295">
        <f>C26-G26-I26-K26-M26</f>
        <v>0.24814899289999992</v>
      </c>
      <c r="S26" s="295">
        <f>D26-E26</f>
        <v>0.24814899289999992</v>
      </c>
      <c r="T26" s="341">
        <f>S26/D26</f>
        <v>0.2227695287931794</v>
      </c>
      <c r="U26" s="341"/>
      <c r="V26" s="341"/>
      <c r="W26" s="370"/>
      <c r="X26" s="549"/>
      <c r="AA26" s="343"/>
      <c r="AB26" s="361">
        <f>O26</f>
        <v>0</v>
      </c>
      <c r="AC26" s="294"/>
      <c r="AE26" s="294"/>
      <c r="AF26" s="360"/>
      <c r="AH26" s="384"/>
      <c r="AI26" s="677">
        <f t="shared" si="5"/>
        <v>0</v>
      </c>
      <c r="AJ26" s="744">
        <f t="shared" si="2"/>
        <v>0</v>
      </c>
      <c r="AK26" s="744">
        <f t="shared" si="3"/>
        <v>0</v>
      </c>
      <c r="AL26" s="365"/>
      <c r="AM26" s="349"/>
      <c r="AN26" s="372"/>
      <c r="AO26" s="375"/>
      <c r="AP26" s="372"/>
      <c r="AQ26" s="374"/>
      <c r="AR26" s="360"/>
      <c r="AS26" s="372"/>
    </row>
    <row r="27" spans="1:45" s="13" customFormat="1" ht="23.25" customHeight="1">
      <c r="A27" s="871" t="s">
        <v>250</v>
      </c>
      <c r="B27" s="843" t="s">
        <v>669</v>
      </c>
      <c r="C27" s="339">
        <f>SUM(C28:C34)</f>
        <v>11.95548911</v>
      </c>
      <c r="D27" s="339">
        <f aca="true" t="shared" si="8" ref="D27:S27">SUM(D28:D34)</f>
        <v>6.52344912</v>
      </c>
      <c r="E27" s="339">
        <f t="shared" si="8"/>
        <v>6.29293672</v>
      </c>
      <c r="F27" s="697">
        <f t="shared" si="8"/>
        <v>1.25199168278052</v>
      </c>
      <c r="G27" s="697">
        <f t="shared" si="8"/>
        <v>1.1659734</v>
      </c>
      <c r="H27" s="700">
        <f t="shared" si="8"/>
        <v>1.580212833333002</v>
      </c>
      <c r="I27" s="700">
        <f t="shared" si="8"/>
        <v>2.2517971500000002</v>
      </c>
      <c r="J27" s="702">
        <f t="shared" si="8"/>
        <v>2.7710993275118088</v>
      </c>
      <c r="K27" s="702">
        <f t="shared" si="8"/>
        <v>1.44709734</v>
      </c>
      <c r="L27" s="850">
        <f t="shared" si="8"/>
        <v>0.9201452763746684</v>
      </c>
      <c r="M27" s="850">
        <f t="shared" si="8"/>
        <v>1.42806883</v>
      </c>
      <c r="N27" s="339">
        <f t="shared" si="8"/>
        <v>6.292936566199999</v>
      </c>
      <c r="O27" s="339">
        <f t="shared" si="8"/>
        <v>1.4280687804</v>
      </c>
      <c r="P27" s="339">
        <f t="shared" si="8"/>
        <v>0.6000000044</v>
      </c>
      <c r="Q27" s="339">
        <f t="shared" si="8"/>
        <v>0</v>
      </c>
      <c r="R27" s="339">
        <f t="shared" si="8"/>
        <v>5.66255239</v>
      </c>
      <c r="S27" s="339">
        <f t="shared" si="8"/>
        <v>0.23051240000000006</v>
      </c>
      <c r="T27" s="351"/>
      <c r="U27" s="351"/>
      <c r="V27" s="562"/>
      <c r="W27" s="574"/>
      <c r="X27" s="564"/>
      <c r="Y27" s="124"/>
      <c r="Z27" s="124"/>
      <c r="AA27" s="566"/>
      <c r="AB27" s="567"/>
      <c r="AC27" s="568"/>
      <c r="AE27" s="568"/>
      <c r="AF27" s="569"/>
      <c r="AH27" s="570"/>
      <c r="AI27" s="677">
        <f t="shared" si="5"/>
        <v>0</v>
      </c>
      <c r="AJ27" s="744">
        <f t="shared" si="2"/>
        <v>0</v>
      </c>
      <c r="AK27" s="744">
        <f t="shared" si="3"/>
        <v>2.220446049250313E-16</v>
      </c>
      <c r="AL27" s="575"/>
      <c r="AM27" s="565"/>
      <c r="AN27" s="571"/>
      <c r="AO27" s="572"/>
      <c r="AP27" s="571"/>
      <c r="AQ27" s="573"/>
      <c r="AR27" s="569"/>
      <c r="AS27" s="571"/>
    </row>
    <row r="28" spans="1:45" ht="23.25" customHeight="1">
      <c r="A28" s="367" t="s">
        <v>670</v>
      </c>
      <c r="B28" s="368" t="s">
        <v>677</v>
      </c>
      <c r="C28" s="295">
        <v>0.6</v>
      </c>
      <c r="D28" s="295">
        <v>0.6</v>
      </c>
      <c r="E28" s="295">
        <f aca="true" t="shared" si="9" ref="E28:E34">G28+I28+K28+M28</f>
        <v>0.43431418</v>
      </c>
      <c r="F28" s="698">
        <f>8!$C$84/8!$M$84*'7.1'!D28</f>
        <v>0.11515304187247374</v>
      </c>
      <c r="G28" s="698">
        <v>0</v>
      </c>
      <c r="H28" s="602">
        <f>8!$F$84/8!$M$84*'7.1'!D28</f>
        <v>0.14534147236512843</v>
      </c>
      <c r="I28" s="602">
        <v>0.18497505</v>
      </c>
      <c r="J28" s="687">
        <f>8!$I$84/8!$M$84*'7.1'!D28</f>
        <v>0.2548743104946736</v>
      </c>
      <c r="K28" s="687">
        <v>0.13418382</v>
      </c>
      <c r="L28" s="851">
        <f>8!$K$84/8!$M$84*'7.1'!D28</f>
        <v>0.08463117526772418</v>
      </c>
      <c r="M28" s="851">
        <v>0.11515531</v>
      </c>
      <c r="N28" s="295">
        <f>0.27047362*1.18+0.09758925*1.18</f>
        <v>0.4343141866</v>
      </c>
      <c r="O28" s="295">
        <f>0.09758925*1.18</f>
        <v>0.115155315</v>
      </c>
      <c r="P28" s="295">
        <v>0</v>
      </c>
      <c r="Q28" s="295">
        <v>0</v>
      </c>
      <c r="R28" s="295">
        <f aca="true" t="shared" si="10" ref="R28:R34">C28-G28-I28-K28-M28</f>
        <v>0.16568581999999993</v>
      </c>
      <c r="S28" s="295">
        <f aca="true" t="shared" si="11" ref="S28:S34">D28-E28</f>
        <v>0.16568581999999998</v>
      </c>
      <c r="T28" s="341">
        <v>0</v>
      </c>
      <c r="U28" s="341"/>
      <c r="V28" s="495"/>
      <c r="W28" s="370"/>
      <c r="X28" s="549"/>
      <c r="AA28" s="343"/>
      <c r="AB28" s="361"/>
      <c r="AC28" s="294"/>
      <c r="AE28" s="294"/>
      <c r="AF28" s="360"/>
      <c r="AH28" s="384"/>
      <c r="AI28" s="677">
        <f t="shared" si="5"/>
        <v>0</v>
      </c>
      <c r="AJ28" s="744">
        <f t="shared" si="2"/>
        <v>0</v>
      </c>
      <c r="AK28" s="744">
        <f t="shared" si="3"/>
        <v>0</v>
      </c>
      <c r="AL28" s="365"/>
      <c r="AM28" s="349"/>
      <c r="AN28" s="372"/>
      <c r="AO28" s="375"/>
      <c r="AP28" s="372"/>
      <c r="AQ28" s="374"/>
      <c r="AR28" s="360"/>
      <c r="AS28" s="372"/>
    </row>
    <row r="29" spans="1:45" ht="23.25" customHeight="1">
      <c r="A29" s="367" t="s">
        <v>671</v>
      </c>
      <c r="B29" s="368" t="s">
        <v>678</v>
      </c>
      <c r="C29" s="295">
        <v>0.6</v>
      </c>
      <c r="D29" s="295">
        <v>0.6</v>
      </c>
      <c r="E29" s="295">
        <f t="shared" si="9"/>
        <v>0.6</v>
      </c>
      <c r="F29" s="698">
        <f>8!$C$84/8!$M$84*'7.1'!D29</f>
        <v>0.11515304187247374</v>
      </c>
      <c r="G29" s="698">
        <v>0</v>
      </c>
      <c r="H29" s="602">
        <f>8!$F$84/8!$M$84*'7.1'!D29</f>
        <v>0.14534147236512843</v>
      </c>
      <c r="I29" s="602">
        <v>0.6</v>
      </c>
      <c r="J29" s="687">
        <f>8!$I$84/8!$M$84*'7.1'!D29</f>
        <v>0.2548743104946736</v>
      </c>
      <c r="K29" s="703">
        <v>0</v>
      </c>
      <c r="L29" s="851">
        <f>8!$K$84/8!$M$84*'7.1'!D29</f>
        <v>0.08463117526772418</v>
      </c>
      <c r="M29" s="851">
        <v>0</v>
      </c>
      <c r="N29" s="295">
        <f>0.50847458*1.18</f>
        <v>0.6000000044</v>
      </c>
      <c r="O29" s="295">
        <v>0</v>
      </c>
      <c r="P29" s="295">
        <f>0.50847458*1.18</f>
        <v>0.6000000044</v>
      </c>
      <c r="Q29" s="295">
        <v>0</v>
      </c>
      <c r="R29" s="295">
        <f t="shared" si="10"/>
        <v>0</v>
      </c>
      <c r="S29" s="295">
        <f t="shared" si="11"/>
        <v>0</v>
      </c>
      <c r="T29" s="341">
        <v>0</v>
      </c>
      <c r="U29" s="341"/>
      <c r="V29" s="495"/>
      <c r="W29" s="370"/>
      <c r="X29" s="549"/>
      <c r="AA29" s="343"/>
      <c r="AB29" s="361"/>
      <c r="AC29" s="294"/>
      <c r="AE29" s="294"/>
      <c r="AF29" s="360"/>
      <c r="AH29" s="384"/>
      <c r="AI29" s="677">
        <f t="shared" si="5"/>
        <v>0</v>
      </c>
      <c r="AJ29" s="744">
        <f t="shared" si="2"/>
        <v>0</v>
      </c>
      <c r="AK29" s="744">
        <f t="shared" si="3"/>
        <v>0</v>
      </c>
      <c r="AL29" s="365"/>
      <c r="AM29" s="349"/>
      <c r="AN29" s="372"/>
      <c r="AO29" s="375"/>
      <c r="AP29" s="372"/>
      <c r="AQ29" s="374"/>
      <c r="AR29" s="360"/>
      <c r="AS29" s="372"/>
    </row>
    <row r="30" spans="1:45" ht="23.25" customHeight="1">
      <c r="A30" s="367" t="s">
        <v>672</v>
      </c>
      <c r="B30" s="368" t="s">
        <v>679</v>
      </c>
      <c r="C30" s="295">
        <v>0.99475</v>
      </c>
      <c r="D30" s="295">
        <v>0.32977776000000003</v>
      </c>
      <c r="E30" s="295">
        <f t="shared" si="9"/>
        <v>0.29736447</v>
      </c>
      <c r="F30" s="698">
        <f>8!$C$84/8!$M$84*'7.1'!D30</f>
        <v>0.063291520343151</v>
      </c>
      <c r="G30" s="698">
        <v>0</v>
      </c>
      <c r="H30" s="602">
        <f>8!$F$84/8!$M$84*'7.1'!D30</f>
        <v>0.0798839753194566</v>
      </c>
      <c r="I30" s="602">
        <v>0.15042435</v>
      </c>
      <c r="J30" s="687">
        <f>8!$I$84/8!$M$84*'7.1'!D30</f>
        <v>0.14008646532746327</v>
      </c>
      <c r="K30" s="687">
        <v>0.07347006</v>
      </c>
      <c r="L30" s="851">
        <f>8!$K$84/8!$M$84*'7.1'!D30</f>
        <v>0.04651579900992914</v>
      </c>
      <c r="M30" s="851">
        <v>0.07347006</v>
      </c>
      <c r="N30" s="295">
        <f>0.12747826*1.18+0.06226275*1.18+0.06226275*1.18</f>
        <v>0.29736443679999996</v>
      </c>
      <c r="O30" s="295">
        <f>0.06226275*1.18</f>
        <v>0.073470045</v>
      </c>
      <c r="P30" s="295">
        <v>0</v>
      </c>
      <c r="Q30" s="295">
        <v>0</v>
      </c>
      <c r="R30" s="295">
        <f t="shared" si="10"/>
        <v>0.69738553</v>
      </c>
      <c r="S30" s="295">
        <f t="shared" si="11"/>
        <v>0.03241329000000004</v>
      </c>
      <c r="T30" s="341">
        <v>0</v>
      </c>
      <c r="U30" s="341"/>
      <c r="V30" s="495"/>
      <c r="W30" s="370"/>
      <c r="X30" s="549"/>
      <c r="AA30" s="343"/>
      <c r="AB30" s="361"/>
      <c r="AC30" s="294"/>
      <c r="AE30" s="294"/>
      <c r="AF30" s="360"/>
      <c r="AH30" s="384"/>
      <c r="AI30" s="677">
        <f t="shared" si="5"/>
        <v>0</v>
      </c>
      <c r="AJ30" s="744">
        <f t="shared" si="2"/>
        <v>0</v>
      </c>
      <c r="AK30" s="744">
        <f t="shared" si="3"/>
        <v>0</v>
      </c>
      <c r="AL30" s="365"/>
      <c r="AM30" s="349"/>
      <c r="AN30" s="372"/>
      <c r="AO30" s="375"/>
      <c r="AP30" s="372"/>
      <c r="AQ30" s="374"/>
      <c r="AR30" s="360"/>
      <c r="AS30" s="372"/>
    </row>
    <row r="31" spans="1:45" ht="23.25" customHeight="1">
      <c r="A31" s="367" t="s">
        <v>673</v>
      </c>
      <c r="B31" s="368" t="s">
        <v>680</v>
      </c>
      <c r="C31" s="295">
        <v>0.99475</v>
      </c>
      <c r="D31" s="295">
        <v>0.32977776000000003</v>
      </c>
      <c r="E31" s="295">
        <f t="shared" si="9"/>
        <v>0.29736447</v>
      </c>
      <c r="F31" s="698">
        <f>8!$C$84/8!$M$84*'7.1'!D31</f>
        <v>0.063291520343151</v>
      </c>
      <c r="G31" s="698">
        <v>0</v>
      </c>
      <c r="H31" s="602">
        <f>8!$F$84/8!$M$84*'7.1'!D31</f>
        <v>0.0798839753194566</v>
      </c>
      <c r="I31" s="602">
        <v>0.15042435</v>
      </c>
      <c r="J31" s="687">
        <f>8!$I$84/8!$M$84*'7.1'!D31</f>
        <v>0.14008646532746327</v>
      </c>
      <c r="K31" s="687">
        <v>0.07347006</v>
      </c>
      <c r="L31" s="851">
        <f>8!$K$84/8!$M$84*'7.1'!D31</f>
        <v>0.04651579900992914</v>
      </c>
      <c r="M31" s="851">
        <v>0.07347006</v>
      </c>
      <c r="N31" s="295">
        <f>0.12747826*1.18+0.06226275*1.18+0.06226275*1.18</f>
        <v>0.29736443679999996</v>
      </c>
      <c r="O31" s="295">
        <f>0.06226275*1.18</f>
        <v>0.073470045</v>
      </c>
      <c r="P31" s="295">
        <v>0</v>
      </c>
      <c r="Q31" s="295">
        <v>0</v>
      </c>
      <c r="R31" s="295">
        <f t="shared" si="10"/>
        <v>0.69738553</v>
      </c>
      <c r="S31" s="295">
        <f t="shared" si="11"/>
        <v>0.03241329000000004</v>
      </c>
      <c r="T31" s="341">
        <v>0</v>
      </c>
      <c r="U31" s="341"/>
      <c r="V31" s="495"/>
      <c r="W31" s="370"/>
      <c r="X31" s="549"/>
      <c r="AA31" s="343"/>
      <c r="AB31" s="361"/>
      <c r="AC31" s="294"/>
      <c r="AE31" s="294"/>
      <c r="AF31" s="360"/>
      <c r="AH31" s="384"/>
      <c r="AI31" s="677">
        <f t="shared" si="5"/>
        <v>0</v>
      </c>
      <c r="AJ31" s="744">
        <f t="shared" si="2"/>
        <v>0</v>
      </c>
      <c r="AK31" s="744">
        <f t="shared" si="3"/>
        <v>0</v>
      </c>
      <c r="AL31" s="365"/>
      <c r="AM31" s="349"/>
      <c r="AN31" s="372"/>
      <c r="AO31" s="375"/>
      <c r="AP31" s="372"/>
      <c r="AQ31" s="374"/>
      <c r="AR31" s="360"/>
      <c r="AS31" s="372"/>
    </row>
    <row r="32" spans="1:45" ht="34.5" customHeight="1">
      <c r="A32" s="367" t="s">
        <v>674</v>
      </c>
      <c r="B32" s="368" t="s">
        <v>681</v>
      </c>
      <c r="C32" s="295">
        <v>1.57226353</v>
      </c>
      <c r="D32" s="295">
        <v>1.10983308</v>
      </c>
      <c r="E32" s="295">
        <f t="shared" si="9"/>
        <v>1.10983308</v>
      </c>
      <c r="F32" s="698">
        <f>8!$C$84/8!$M$84*'7.1'!D32</f>
        <v>0.2130010918878275</v>
      </c>
      <c r="G32" s="698">
        <f>0.27745827</f>
        <v>0.27745827</v>
      </c>
      <c r="H32" s="602">
        <f>8!$F$84/8!$M$84*'7.1'!D32</f>
        <v>0.26884128987787564</v>
      </c>
      <c r="I32" s="602">
        <f>0.27745827</f>
        <v>0.27745827</v>
      </c>
      <c r="J32" s="687">
        <f>8!$I$84/8!$M$84*'7.1'!D32</f>
        <v>0.4714465683819666</v>
      </c>
      <c r="K32" s="687">
        <f>0.27745827</f>
        <v>0.27745827</v>
      </c>
      <c r="L32" s="851">
        <f>8!$K$84/8!$M$84*'7.1'!D32</f>
        <v>0.15654412985233027</v>
      </c>
      <c r="M32" s="851">
        <v>0.27745827</v>
      </c>
      <c r="N32" s="295">
        <f>0.23513412*1.18+0.23513412*1.18+0.23513412*1.18+0.23513412*1.18</f>
        <v>1.1098330464</v>
      </c>
      <c r="O32" s="295">
        <f>0.23513412*1.18</f>
        <v>0.2774582616</v>
      </c>
      <c r="P32" s="295">
        <v>0</v>
      </c>
      <c r="Q32" s="295">
        <v>0</v>
      </c>
      <c r="R32" s="295">
        <f t="shared" si="10"/>
        <v>0.46243045000000005</v>
      </c>
      <c r="S32" s="295">
        <f t="shared" si="11"/>
        <v>0</v>
      </c>
      <c r="T32" s="341">
        <v>0</v>
      </c>
      <c r="U32" s="341"/>
      <c r="V32" s="495"/>
      <c r="W32" s="370"/>
      <c r="X32" s="549"/>
      <c r="AA32" s="343"/>
      <c r="AB32" s="361"/>
      <c r="AC32" s="294"/>
      <c r="AE32" s="294"/>
      <c r="AF32" s="360"/>
      <c r="AH32" s="384"/>
      <c r="AI32" s="677">
        <f t="shared" si="5"/>
        <v>0</v>
      </c>
      <c r="AJ32" s="744">
        <f t="shared" si="2"/>
        <v>0</v>
      </c>
      <c r="AK32" s="744">
        <f t="shared" si="3"/>
        <v>0</v>
      </c>
      <c r="AL32" s="365"/>
      <c r="AM32" s="349"/>
      <c r="AN32" s="372"/>
      <c r="AO32" s="375"/>
      <c r="AP32" s="372"/>
      <c r="AQ32" s="374"/>
      <c r="AR32" s="360"/>
      <c r="AS32" s="372"/>
    </row>
    <row r="33" spans="1:45" ht="23.25" customHeight="1">
      <c r="A33" s="367" t="s">
        <v>675</v>
      </c>
      <c r="B33" s="368" t="s">
        <v>682</v>
      </c>
      <c r="C33" s="295">
        <v>5.72828368</v>
      </c>
      <c r="D33" s="295">
        <v>2.4549787199999997</v>
      </c>
      <c r="E33" s="295">
        <f t="shared" si="9"/>
        <v>2.45497872</v>
      </c>
      <c r="F33" s="698">
        <f>8!$C$84/8!$M$84*'7.1'!D33</f>
        <v>0.47116377890031996</v>
      </c>
      <c r="G33" s="698">
        <f>0.61374468</f>
        <v>0.61374468</v>
      </c>
      <c r="H33" s="602">
        <f>8!$F$84/8!$M$84*'7.1'!D33</f>
        <v>0.5946837029830973</v>
      </c>
      <c r="I33" s="602">
        <v>0.61374468</v>
      </c>
      <c r="J33" s="687">
        <f>8!$I$84/8!$M$84*'7.1'!D33</f>
        <v>1.0428516808984938</v>
      </c>
      <c r="K33" s="687">
        <v>0.61374468</v>
      </c>
      <c r="L33" s="851">
        <f>8!$K$84/8!$M$84*'7.1'!D33</f>
        <v>0.34627955721808856</v>
      </c>
      <c r="M33" s="851">
        <v>0.61374468</v>
      </c>
      <c r="N33" s="295">
        <f>0.5201226*1.18+0.5201226*1.18+0.5201226*1.18+0.5201226*1.18</f>
        <v>2.4549786719999998</v>
      </c>
      <c r="O33" s="295">
        <f>0.5201226*1.18</f>
        <v>0.6137446679999999</v>
      </c>
      <c r="P33" s="295">
        <v>0</v>
      </c>
      <c r="Q33" s="295">
        <v>0</v>
      </c>
      <c r="R33" s="295">
        <f t="shared" si="10"/>
        <v>3.27330496</v>
      </c>
      <c r="S33" s="295">
        <f t="shared" si="11"/>
        <v>0</v>
      </c>
      <c r="T33" s="341">
        <v>0</v>
      </c>
      <c r="U33" s="341"/>
      <c r="V33" s="495"/>
      <c r="W33" s="370"/>
      <c r="X33" s="549"/>
      <c r="AA33" s="343"/>
      <c r="AB33" s="361"/>
      <c r="AC33" s="294"/>
      <c r="AE33" s="294"/>
      <c r="AF33" s="360"/>
      <c r="AH33" s="384"/>
      <c r="AI33" s="677">
        <f t="shared" si="5"/>
        <v>0</v>
      </c>
      <c r="AJ33" s="744">
        <f t="shared" si="2"/>
        <v>0</v>
      </c>
      <c r="AK33" s="744">
        <f t="shared" si="3"/>
        <v>-4.440892098500626E-16</v>
      </c>
      <c r="AL33" s="365"/>
      <c r="AM33" s="349"/>
      <c r="AN33" s="372"/>
      <c r="AO33" s="375"/>
      <c r="AP33" s="372"/>
      <c r="AQ33" s="374"/>
      <c r="AR33" s="360"/>
      <c r="AS33" s="372"/>
    </row>
    <row r="34" spans="1:45" ht="23.25" customHeight="1">
      <c r="A34" s="367" t="s">
        <v>676</v>
      </c>
      <c r="B34" s="368" t="s">
        <v>683</v>
      </c>
      <c r="C34" s="295">
        <v>1.4654419</v>
      </c>
      <c r="D34" s="295">
        <v>1.0990818</v>
      </c>
      <c r="E34" s="295">
        <f t="shared" si="9"/>
        <v>1.0990818</v>
      </c>
      <c r="F34" s="698">
        <f>8!$C$84/8!$M$84*'7.1'!D34</f>
        <v>0.21093768756112302</v>
      </c>
      <c r="G34" s="698">
        <v>0.27477045</v>
      </c>
      <c r="H34" s="602">
        <f>8!$F$84/8!$M$84*'7.1'!D34</f>
        <v>0.26623694510285933</v>
      </c>
      <c r="I34" s="602">
        <v>0.27477045</v>
      </c>
      <c r="J34" s="687">
        <f>8!$I$84/8!$M$84*'7.1'!D34</f>
        <v>0.4668795265870746</v>
      </c>
      <c r="K34" s="687">
        <v>0.27477045</v>
      </c>
      <c r="L34" s="851">
        <f>8!$K$84/8!$M$84*'7.1'!D34</f>
        <v>0.15502764074894296</v>
      </c>
      <c r="M34" s="851">
        <f>0.27477045</f>
        <v>0.27477045</v>
      </c>
      <c r="N34" s="295">
        <f>0.23285631*1.18+0.23285631*1.18+0.23285631*1.18+0.23285631*1.18</f>
        <v>1.0990817832</v>
      </c>
      <c r="O34" s="295">
        <f>0.23285631*1.18</f>
        <v>0.2747704458</v>
      </c>
      <c r="P34" s="295">
        <v>0</v>
      </c>
      <c r="Q34" s="295">
        <v>0</v>
      </c>
      <c r="R34" s="295">
        <f t="shared" si="10"/>
        <v>0.36636009999999997</v>
      </c>
      <c r="S34" s="295">
        <f t="shared" si="11"/>
        <v>0</v>
      </c>
      <c r="T34" s="341">
        <v>0</v>
      </c>
      <c r="U34" s="341"/>
      <c r="V34" s="495"/>
      <c r="W34" s="370"/>
      <c r="X34" s="549"/>
      <c r="AA34" s="343"/>
      <c r="AB34" s="361"/>
      <c r="AC34" s="294"/>
      <c r="AE34" s="294"/>
      <c r="AF34" s="360"/>
      <c r="AH34" s="384"/>
      <c r="AI34" s="677">
        <f t="shared" si="5"/>
        <v>0</v>
      </c>
      <c r="AJ34" s="744">
        <f t="shared" si="2"/>
        <v>0</v>
      </c>
      <c r="AK34" s="744">
        <f t="shared" si="3"/>
        <v>0</v>
      </c>
      <c r="AL34" s="365"/>
      <c r="AM34" s="349"/>
      <c r="AN34" s="372"/>
      <c r="AO34" s="375"/>
      <c r="AP34" s="372"/>
      <c r="AQ34" s="374"/>
      <c r="AR34" s="360"/>
      <c r="AS34" s="372"/>
    </row>
    <row r="35" spans="1:45" s="13" customFormat="1" ht="23.25" customHeight="1">
      <c r="A35" s="871" t="s">
        <v>240</v>
      </c>
      <c r="B35" s="843" t="s">
        <v>288</v>
      </c>
      <c r="C35" s="339">
        <f>C36+C38</f>
        <v>173.46311706999998</v>
      </c>
      <c r="D35" s="339">
        <f aca="true" t="shared" si="12" ref="D35:S35">D36+D38</f>
        <v>63.37162</v>
      </c>
      <c r="E35" s="339">
        <f t="shared" si="12"/>
        <v>53.36458255</v>
      </c>
      <c r="F35" s="697">
        <f t="shared" si="12"/>
        <v>12.162391352310825</v>
      </c>
      <c r="G35" s="697">
        <f t="shared" si="12"/>
        <v>33.3075637</v>
      </c>
      <c r="H35" s="700">
        <f t="shared" si="12"/>
        <v>15.3508742616057</v>
      </c>
      <c r="I35" s="700">
        <f t="shared" si="12"/>
        <v>0</v>
      </c>
      <c r="J35" s="702">
        <f t="shared" si="12"/>
        <v>26.91966325405078</v>
      </c>
      <c r="K35" s="702">
        <f t="shared" si="12"/>
        <v>9.52962297</v>
      </c>
      <c r="L35" s="850">
        <f t="shared" si="12"/>
        <v>8.938691132032691</v>
      </c>
      <c r="M35" s="850">
        <f t="shared" si="12"/>
        <v>10.52739588</v>
      </c>
      <c r="N35" s="339">
        <f t="shared" si="12"/>
        <v>42.4729807004</v>
      </c>
      <c r="O35" s="339">
        <f t="shared" si="12"/>
        <v>3.03834252</v>
      </c>
      <c r="P35" s="339">
        <f t="shared" si="12"/>
        <v>0</v>
      </c>
      <c r="Q35" s="339">
        <f t="shared" si="12"/>
        <v>0</v>
      </c>
      <c r="R35" s="339">
        <f t="shared" si="12"/>
        <v>120.09853452</v>
      </c>
      <c r="S35" s="339">
        <f t="shared" si="12"/>
        <v>10.007037450000002</v>
      </c>
      <c r="T35" s="351"/>
      <c r="U35" s="351"/>
      <c r="V35" s="562"/>
      <c r="W35" s="574"/>
      <c r="X35" s="564"/>
      <c r="Y35" s="124"/>
      <c r="Z35" s="124"/>
      <c r="AA35" s="566"/>
      <c r="AB35" s="567"/>
      <c r="AC35" s="568"/>
      <c r="AE35" s="568"/>
      <c r="AF35" s="569"/>
      <c r="AH35" s="570"/>
      <c r="AI35" s="677">
        <f t="shared" si="5"/>
        <v>0</v>
      </c>
      <c r="AJ35" s="744">
        <f t="shared" si="2"/>
        <v>0</v>
      </c>
      <c r="AK35" s="744">
        <f t="shared" si="3"/>
        <v>0</v>
      </c>
      <c r="AL35" s="575"/>
      <c r="AM35" s="565"/>
      <c r="AN35" s="571"/>
      <c r="AO35" s="572"/>
      <c r="AP35" s="571"/>
      <c r="AQ35" s="573"/>
      <c r="AR35" s="569"/>
      <c r="AS35" s="571"/>
    </row>
    <row r="36" spans="1:45" s="13" customFormat="1" ht="33" customHeight="1">
      <c r="A36" s="871" t="s">
        <v>241</v>
      </c>
      <c r="B36" s="843" t="s">
        <v>351</v>
      </c>
      <c r="C36" s="339">
        <f>C37</f>
        <v>73.85874507</v>
      </c>
      <c r="D36" s="339">
        <f aca="true" t="shared" si="13" ref="D36:S36">D37</f>
        <v>44.21</v>
      </c>
      <c r="E36" s="339">
        <f t="shared" si="13"/>
        <v>50.85372255</v>
      </c>
      <c r="F36" s="697">
        <f t="shared" si="13"/>
        <v>8.484859968636774</v>
      </c>
      <c r="G36" s="697">
        <f t="shared" si="13"/>
        <v>32.9275637</v>
      </c>
      <c r="H36" s="700">
        <f t="shared" si="13"/>
        <v>10.709244155437213</v>
      </c>
      <c r="I36" s="700">
        <f t="shared" si="13"/>
        <v>0</v>
      </c>
      <c r="J36" s="702">
        <f t="shared" si="13"/>
        <v>18.779988778282533</v>
      </c>
      <c r="K36" s="702">
        <f t="shared" si="13"/>
        <v>8.52962297</v>
      </c>
      <c r="L36" s="850">
        <f t="shared" si="13"/>
        <v>6.2359070976434765</v>
      </c>
      <c r="M36" s="850">
        <f t="shared" si="13"/>
        <v>9.39653588</v>
      </c>
      <c r="N36" s="339">
        <f t="shared" si="13"/>
        <v>35.9446381804</v>
      </c>
      <c r="O36" s="339">
        <f t="shared" si="13"/>
        <v>0</v>
      </c>
      <c r="P36" s="339">
        <f t="shared" si="13"/>
        <v>0</v>
      </c>
      <c r="Q36" s="339">
        <f t="shared" si="13"/>
        <v>0</v>
      </c>
      <c r="R36" s="339">
        <f t="shared" si="13"/>
        <v>23.005022519999997</v>
      </c>
      <c r="S36" s="339">
        <f t="shared" si="13"/>
        <v>-6.64372255</v>
      </c>
      <c r="T36" s="351"/>
      <c r="U36" s="351"/>
      <c r="V36" s="562"/>
      <c r="W36" s="574"/>
      <c r="X36" s="564"/>
      <c r="Y36" s="124"/>
      <c r="Z36" s="124"/>
      <c r="AA36" s="566"/>
      <c r="AB36" s="567"/>
      <c r="AC36" s="568"/>
      <c r="AE36" s="568"/>
      <c r="AF36" s="569"/>
      <c r="AH36" s="570"/>
      <c r="AI36" s="677">
        <f t="shared" si="5"/>
        <v>0</v>
      </c>
      <c r="AJ36" s="744">
        <f t="shared" si="2"/>
        <v>0</v>
      </c>
      <c r="AK36" s="744">
        <f t="shared" si="3"/>
        <v>0</v>
      </c>
      <c r="AL36" s="575"/>
      <c r="AM36" s="565"/>
      <c r="AN36" s="571"/>
      <c r="AO36" s="572"/>
      <c r="AP36" s="571"/>
      <c r="AQ36" s="573"/>
      <c r="AR36" s="569"/>
      <c r="AS36" s="571"/>
    </row>
    <row r="37" spans="1:45" s="382" customFormat="1" ht="34.5" customHeight="1">
      <c r="A37" s="723" t="s">
        <v>684</v>
      </c>
      <c r="B37" s="497" t="s">
        <v>384</v>
      </c>
      <c r="C37" s="297">
        <v>73.85874507</v>
      </c>
      <c r="D37" s="297">
        <v>44.21</v>
      </c>
      <c r="E37" s="297">
        <f>G37+I37+K37+M37</f>
        <v>50.85372255</v>
      </c>
      <c r="F37" s="708">
        <f>8!$C$84/8!$M$84*'7.1'!D37</f>
        <v>8.484859968636774</v>
      </c>
      <c r="G37" s="708">
        <v>32.9275637</v>
      </c>
      <c r="H37" s="709">
        <f>8!$F$84/8!$M$84*'7.1'!D37</f>
        <v>10.709244155437213</v>
      </c>
      <c r="I37" s="709">
        <v>0</v>
      </c>
      <c r="J37" s="710">
        <f>8!$I$84/8!$M$84*'7.1'!D37</f>
        <v>18.779988778282533</v>
      </c>
      <c r="K37" s="710">
        <f>9.24897457-0.60962*1.18</f>
        <v>8.52962297</v>
      </c>
      <c r="L37" s="852">
        <f>8!$K$84/8!$M$84*'7.1'!D37</f>
        <v>6.2359070976434765</v>
      </c>
      <c r="M37" s="852">
        <f>9.39653588</f>
        <v>9.39653588</v>
      </c>
      <c r="N37" s="297">
        <f>11.19730578*1.18+19.264252*1.18</f>
        <v>35.9446381804</v>
      </c>
      <c r="O37" s="297">
        <v>0</v>
      </c>
      <c r="P37" s="297">
        <v>0</v>
      </c>
      <c r="Q37" s="297">
        <v>0</v>
      </c>
      <c r="R37" s="297">
        <f>C37-G37-I37-K37-M37</f>
        <v>23.005022519999997</v>
      </c>
      <c r="S37" s="297">
        <f>D37-E37</f>
        <v>-6.64372255</v>
      </c>
      <c r="T37" s="711">
        <f>S37/D37</f>
        <v>-0.1502764657317349</v>
      </c>
      <c r="U37" s="711"/>
      <c r="V37" s="711"/>
      <c r="W37" s="712"/>
      <c r="X37" s="713"/>
      <c r="Y37" s="714">
        <v>0</v>
      </c>
      <c r="Z37" s="714">
        <v>0</v>
      </c>
      <c r="AA37" s="715">
        <v>0</v>
      </c>
      <c r="AB37" s="716">
        <f>O37</f>
        <v>0</v>
      </c>
      <c r="AC37" s="539">
        <f>Y37+Z37+AA37+AB37</f>
        <v>0</v>
      </c>
      <c r="AD37" s="382" t="b">
        <f>AC37=N37</f>
        <v>0</v>
      </c>
      <c r="AE37" s="539">
        <f>N37-(Y37+Z37+AA37)</f>
        <v>35.9446381804</v>
      </c>
      <c r="AF37" s="717" t="b">
        <f>AB37=AE37</f>
        <v>0</v>
      </c>
      <c r="AH37" s="718"/>
      <c r="AI37" s="692">
        <f t="shared" si="5"/>
        <v>0</v>
      </c>
      <c r="AJ37" s="744">
        <f t="shared" si="2"/>
        <v>0</v>
      </c>
      <c r="AK37" s="744">
        <f t="shared" si="3"/>
        <v>0</v>
      </c>
      <c r="AL37" s="716"/>
      <c r="AM37" s="719"/>
      <c r="AN37" s="720"/>
      <c r="AO37" s="721"/>
      <c r="AP37" s="720"/>
      <c r="AQ37" s="721"/>
      <c r="AR37" s="717"/>
      <c r="AS37" s="720"/>
    </row>
    <row r="38" spans="1:45" s="436" customFormat="1" ht="24.75" customHeight="1">
      <c r="A38" s="871" t="s">
        <v>242</v>
      </c>
      <c r="B38" s="843" t="s">
        <v>43</v>
      </c>
      <c r="C38" s="339">
        <f>SUM(C39:C42)</f>
        <v>99.60437199999998</v>
      </c>
      <c r="D38" s="339">
        <f aca="true" t="shared" si="14" ref="D38:S38">SUM(D39:D42)</f>
        <v>19.16162</v>
      </c>
      <c r="E38" s="339">
        <f t="shared" si="14"/>
        <v>2.51086</v>
      </c>
      <c r="F38" s="697">
        <f t="shared" si="14"/>
        <v>3.677531383674051</v>
      </c>
      <c r="G38" s="697">
        <f t="shared" si="14"/>
        <v>0.38</v>
      </c>
      <c r="H38" s="700">
        <f t="shared" si="14"/>
        <v>4.6416301061684875</v>
      </c>
      <c r="I38" s="700">
        <f t="shared" si="14"/>
        <v>0</v>
      </c>
      <c r="J38" s="702">
        <f t="shared" si="14"/>
        <v>8.139674475768246</v>
      </c>
      <c r="K38" s="702">
        <f t="shared" si="14"/>
        <v>1</v>
      </c>
      <c r="L38" s="850">
        <f t="shared" si="14"/>
        <v>2.7027840343892153</v>
      </c>
      <c r="M38" s="850">
        <f t="shared" si="14"/>
        <v>1.13086</v>
      </c>
      <c r="N38" s="339">
        <f t="shared" si="14"/>
        <v>6.528342520000001</v>
      </c>
      <c r="O38" s="339">
        <f t="shared" si="14"/>
        <v>3.03834252</v>
      </c>
      <c r="P38" s="339">
        <f t="shared" si="14"/>
        <v>0</v>
      </c>
      <c r="Q38" s="339">
        <f t="shared" si="14"/>
        <v>0</v>
      </c>
      <c r="R38" s="339">
        <f t="shared" si="14"/>
        <v>97.093512</v>
      </c>
      <c r="S38" s="339">
        <f t="shared" si="14"/>
        <v>16.650760000000002</v>
      </c>
      <c r="T38" s="351"/>
      <c r="U38" s="351"/>
      <c r="V38" s="562"/>
      <c r="W38" s="584"/>
      <c r="X38" s="585"/>
      <c r="Y38" s="586"/>
      <c r="Z38" s="586"/>
      <c r="AA38" s="587"/>
      <c r="AB38" s="588"/>
      <c r="AC38" s="589"/>
      <c r="AE38" s="589"/>
      <c r="AF38" s="590"/>
      <c r="AH38" s="591"/>
      <c r="AI38" s="677">
        <f t="shared" si="5"/>
        <v>0</v>
      </c>
      <c r="AJ38" s="744">
        <f t="shared" si="2"/>
        <v>0</v>
      </c>
      <c r="AK38" s="744">
        <f t="shared" si="3"/>
        <v>0</v>
      </c>
      <c r="AL38" s="588"/>
      <c r="AM38" s="592"/>
      <c r="AN38" s="593"/>
      <c r="AO38" s="594"/>
      <c r="AP38" s="593"/>
      <c r="AQ38" s="595"/>
      <c r="AR38" s="590"/>
      <c r="AS38" s="593"/>
    </row>
    <row r="39" spans="1:45" s="353" customFormat="1" ht="18.75">
      <c r="A39" s="367" t="s">
        <v>686</v>
      </c>
      <c r="B39" s="368" t="s">
        <v>484</v>
      </c>
      <c r="C39" s="295">
        <v>17.124372</v>
      </c>
      <c r="D39" s="295">
        <v>3.887</v>
      </c>
      <c r="E39" s="295">
        <f>G39+I39+K39+M39</f>
        <v>0</v>
      </c>
      <c r="F39" s="698">
        <f>8!$C$84/8!$M$84*'7.1'!D39</f>
        <v>0.7459997895971757</v>
      </c>
      <c r="G39" s="698">
        <v>0</v>
      </c>
      <c r="H39" s="602">
        <f>8!$F$84/8!$M$84*'7.1'!D39</f>
        <v>0.9415705051387571</v>
      </c>
      <c r="I39" s="602">
        <v>0</v>
      </c>
      <c r="J39" s="687">
        <f>8!$I$84/8!$M$84*'7.1'!D39</f>
        <v>1.6511607414879939</v>
      </c>
      <c r="K39" s="687">
        <v>0</v>
      </c>
      <c r="L39" s="851">
        <f>8!$K$84/8!$M$84*'7.1'!D39</f>
        <v>0.5482689637760731</v>
      </c>
      <c r="M39" s="851">
        <v>0</v>
      </c>
      <c r="N39" s="295">
        <v>0</v>
      </c>
      <c r="O39" s="295">
        <v>0</v>
      </c>
      <c r="P39" s="295">
        <v>0</v>
      </c>
      <c r="Q39" s="295">
        <v>0</v>
      </c>
      <c r="R39" s="295">
        <f>C39-G39-I39-K39-M39</f>
        <v>17.124372</v>
      </c>
      <c r="S39" s="295">
        <f>D39-E39</f>
        <v>3.887</v>
      </c>
      <c r="T39" s="341">
        <f>S39/D39</f>
        <v>1</v>
      </c>
      <c r="U39" s="341"/>
      <c r="V39" s="495"/>
      <c r="W39" s="695"/>
      <c r="X39" s="576"/>
      <c r="Y39" s="577">
        <v>0</v>
      </c>
      <c r="Z39" s="577">
        <v>0</v>
      </c>
      <c r="AA39" s="383">
        <v>5.616858999999999</v>
      </c>
      <c r="AB39" s="578">
        <f>O39</f>
        <v>0</v>
      </c>
      <c r="AC39" s="433">
        <f>Y39+Z39+AA39+AB39</f>
        <v>5.616858999999999</v>
      </c>
      <c r="AD39" s="353" t="b">
        <f>AC39=N39</f>
        <v>0</v>
      </c>
      <c r="AE39" s="433">
        <f>N39-(Y39+Z39+AA39)</f>
        <v>-5.616858999999999</v>
      </c>
      <c r="AF39" s="438" t="b">
        <f>AB39=AE39</f>
        <v>0</v>
      </c>
      <c r="AH39" s="579"/>
      <c r="AI39" s="692">
        <f t="shared" si="5"/>
        <v>0</v>
      </c>
      <c r="AJ39" s="744">
        <f t="shared" si="2"/>
        <v>0</v>
      </c>
      <c r="AK39" s="744">
        <f t="shared" si="3"/>
        <v>0</v>
      </c>
      <c r="AL39" s="694"/>
      <c r="AM39" s="580"/>
      <c r="AN39" s="581"/>
      <c r="AO39" s="582"/>
      <c r="AP39" s="581"/>
      <c r="AQ39" s="583"/>
      <c r="AR39" s="438"/>
      <c r="AS39" s="581"/>
    </row>
    <row r="40" spans="1:45" s="353" customFormat="1" ht="40.5" customHeight="1">
      <c r="A40" s="367" t="s">
        <v>687</v>
      </c>
      <c r="B40" s="368" t="s">
        <v>690</v>
      </c>
      <c r="C40" s="295">
        <v>58.5</v>
      </c>
      <c r="D40" s="295">
        <v>4.998</v>
      </c>
      <c r="E40" s="295">
        <f>G40+I40+K40+M40</f>
        <v>2.13086</v>
      </c>
      <c r="F40" s="698">
        <f>8!$C$84/8!$M$84*'7.1'!D40</f>
        <v>0.9592248387977064</v>
      </c>
      <c r="G40" s="698">
        <v>0</v>
      </c>
      <c r="H40" s="602">
        <f>8!$F$84/8!$M$84*'7.1'!D40</f>
        <v>1.2106944648015199</v>
      </c>
      <c r="I40" s="602">
        <v>0</v>
      </c>
      <c r="J40" s="687">
        <f>8!$I$84/8!$M$84*'7.1'!D40</f>
        <v>2.123103006420631</v>
      </c>
      <c r="K40" s="687">
        <v>1</v>
      </c>
      <c r="L40" s="851">
        <f>8!$K$84/8!$M$84*'7.1'!D40</f>
        <v>0.7049776899801424</v>
      </c>
      <c r="M40" s="851">
        <v>1.13086</v>
      </c>
      <c r="N40" s="295">
        <f>3.49+0.14086</f>
        <v>3.63086</v>
      </c>
      <c r="O40" s="295">
        <v>0.14086</v>
      </c>
      <c r="P40" s="295">
        <v>0</v>
      </c>
      <c r="Q40" s="295">
        <v>0</v>
      </c>
      <c r="R40" s="295">
        <f>C40-G40-I40-K40-M40</f>
        <v>56.36914</v>
      </c>
      <c r="S40" s="295">
        <f>D40-E40</f>
        <v>2.86714</v>
      </c>
      <c r="T40" s="341">
        <f>S40/D40</f>
        <v>0.573657462985194</v>
      </c>
      <c r="U40" s="341"/>
      <c r="V40" s="341"/>
      <c r="W40" s="371"/>
      <c r="X40" s="576"/>
      <c r="Y40" s="577">
        <v>0</v>
      </c>
      <c r="Z40" s="577">
        <v>0</v>
      </c>
      <c r="AA40" s="383">
        <v>0</v>
      </c>
      <c r="AB40" s="578">
        <f>O40</f>
        <v>0.14086</v>
      </c>
      <c r="AC40" s="433">
        <f>Y40+Z40+AA40+AB40</f>
        <v>0.14086</v>
      </c>
      <c r="AD40" s="353" t="b">
        <f>AC40=N40</f>
        <v>0</v>
      </c>
      <c r="AE40" s="433">
        <f>N40-(Y40+Z40+AA40)</f>
        <v>3.63086</v>
      </c>
      <c r="AF40" s="438" t="b">
        <f>AB40=AE40</f>
        <v>0</v>
      </c>
      <c r="AH40" s="579"/>
      <c r="AI40" s="692">
        <f t="shared" si="5"/>
        <v>0</v>
      </c>
      <c r="AJ40" s="744">
        <f t="shared" si="2"/>
        <v>0</v>
      </c>
      <c r="AK40" s="744">
        <f t="shared" si="3"/>
        <v>0</v>
      </c>
      <c r="AL40" s="578"/>
      <c r="AM40" s="580"/>
      <c r="AN40" s="581"/>
      <c r="AO40" s="582"/>
      <c r="AP40" s="581"/>
      <c r="AQ40" s="583"/>
      <c r="AR40" s="438"/>
      <c r="AS40" s="581"/>
    </row>
    <row r="41" spans="1:45" s="353" customFormat="1" ht="36.75" customHeight="1">
      <c r="A41" s="367" t="s">
        <v>688</v>
      </c>
      <c r="B41" s="368" t="s">
        <v>685</v>
      </c>
      <c r="C41" s="295">
        <v>23.6</v>
      </c>
      <c r="D41" s="295">
        <v>10.27662</v>
      </c>
      <c r="E41" s="295">
        <f>G41+I41+K41+M41</f>
        <v>0</v>
      </c>
      <c r="F41" s="698">
        <f>8!$C$84/8!$M$84*'7.1'!D41</f>
        <v>1.9723067552791684</v>
      </c>
      <c r="G41" s="698">
        <v>0</v>
      </c>
      <c r="H41" s="602">
        <f>8!$F$84/8!$M$84*'7.1'!D41</f>
        <v>2.4893651362282103</v>
      </c>
      <c r="I41" s="602">
        <v>0</v>
      </c>
      <c r="J41" s="687">
        <f>8!$I$84/8!$M$84*'7.1'!D41</f>
        <v>4.365410727859621</v>
      </c>
      <c r="K41" s="687">
        <v>0</v>
      </c>
      <c r="L41" s="851">
        <f>8!$K$84/8!$M$84*'7.1'!D41</f>
        <v>1.4495373806329994</v>
      </c>
      <c r="M41" s="851">
        <v>0</v>
      </c>
      <c r="N41" s="295">
        <f>2.89748252</f>
        <v>2.89748252</v>
      </c>
      <c r="O41" s="295">
        <f>2.89748252</f>
        <v>2.89748252</v>
      </c>
      <c r="P41" s="295">
        <v>0</v>
      </c>
      <c r="Q41" s="295">
        <v>0</v>
      </c>
      <c r="R41" s="295">
        <f>C41-G41-I41-K41-M41</f>
        <v>23.6</v>
      </c>
      <c r="S41" s="295">
        <f>D41-E41</f>
        <v>10.27662</v>
      </c>
      <c r="T41" s="341">
        <v>0</v>
      </c>
      <c r="U41" s="341"/>
      <c r="V41" s="341"/>
      <c r="W41" s="371"/>
      <c r="X41" s="576"/>
      <c r="Y41" s="577"/>
      <c r="Z41" s="577"/>
      <c r="AA41" s="383"/>
      <c r="AB41" s="578"/>
      <c r="AC41" s="433"/>
      <c r="AE41" s="433"/>
      <c r="AF41" s="438"/>
      <c r="AH41" s="579"/>
      <c r="AI41" s="677">
        <f t="shared" si="5"/>
        <v>0</v>
      </c>
      <c r="AJ41" s="744">
        <f t="shared" si="2"/>
        <v>0</v>
      </c>
      <c r="AK41" s="744">
        <f t="shared" si="3"/>
        <v>0</v>
      </c>
      <c r="AL41" s="578"/>
      <c r="AM41" s="580"/>
      <c r="AN41" s="581"/>
      <c r="AO41" s="582"/>
      <c r="AP41" s="581"/>
      <c r="AQ41" s="583"/>
      <c r="AR41" s="438"/>
      <c r="AS41" s="581"/>
    </row>
    <row r="42" spans="1:45" s="353" customFormat="1" ht="18.75">
      <c r="A42" s="367" t="s">
        <v>689</v>
      </c>
      <c r="B42" s="368" t="s">
        <v>644</v>
      </c>
      <c r="C42" s="295">
        <v>0.3799999999999999</v>
      </c>
      <c r="D42" s="295">
        <v>0</v>
      </c>
      <c r="E42" s="295">
        <f>G42+I42+K42+M42</f>
        <v>0.38</v>
      </c>
      <c r="F42" s="698">
        <v>0</v>
      </c>
      <c r="G42" s="698">
        <v>0.38</v>
      </c>
      <c r="H42" s="602">
        <v>0</v>
      </c>
      <c r="I42" s="602">
        <v>0</v>
      </c>
      <c r="J42" s="687">
        <v>0</v>
      </c>
      <c r="K42" s="687">
        <v>0</v>
      </c>
      <c r="L42" s="851">
        <v>0</v>
      </c>
      <c r="M42" s="851">
        <v>0</v>
      </c>
      <c r="N42" s="295">
        <v>0</v>
      </c>
      <c r="O42" s="295">
        <v>0</v>
      </c>
      <c r="P42" s="295">
        <v>0</v>
      </c>
      <c r="Q42" s="295">
        <v>0</v>
      </c>
      <c r="R42" s="295">
        <f>C42-G42-I42-K42-M42</f>
        <v>-1.1102230246251565E-16</v>
      </c>
      <c r="S42" s="295">
        <f>D42-E42</f>
        <v>-0.38</v>
      </c>
      <c r="T42" s="341">
        <v>0</v>
      </c>
      <c r="U42" s="341"/>
      <c r="V42" s="341"/>
      <c r="W42" s="370"/>
      <c r="X42" s="576"/>
      <c r="Y42" s="577"/>
      <c r="Z42" s="577"/>
      <c r="AA42" s="383"/>
      <c r="AB42" s="578">
        <f>O42</f>
        <v>0</v>
      </c>
      <c r="AC42" s="433"/>
      <c r="AE42" s="433"/>
      <c r="AF42" s="438"/>
      <c r="AH42" s="579"/>
      <c r="AI42" s="692">
        <f t="shared" si="5"/>
        <v>0</v>
      </c>
      <c r="AJ42" s="744">
        <f t="shared" si="2"/>
        <v>0</v>
      </c>
      <c r="AK42" s="744">
        <f t="shared" si="3"/>
        <v>0</v>
      </c>
      <c r="AL42" s="694"/>
      <c r="AM42" s="580"/>
      <c r="AN42" s="581"/>
      <c r="AO42" s="582"/>
      <c r="AP42" s="581"/>
      <c r="AQ42" s="583"/>
      <c r="AR42" s="438"/>
      <c r="AS42" s="581"/>
    </row>
    <row r="43" spans="1:45" ht="18.75" hidden="1">
      <c r="A43" s="296" t="s">
        <v>386</v>
      </c>
      <c r="B43" s="22" t="s">
        <v>35</v>
      </c>
      <c r="C43" s="201"/>
      <c r="D43" s="295"/>
      <c r="E43" s="295"/>
      <c r="F43" s="295"/>
      <c r="G43" s="295"/>
      <c r="H43" s="295"/>
      <c r="I43" s="295"/>
      <c r="J43" s="295"/>
      <c r="K43" s="295"/>
      <c r="L43" s="295"/>
      <c r="M43" s="297"/>
      <c r="N43" s="295"/>
      <c r="O43" s="295"/>
      <c r="P43" s="295"/>
      <c r="Q43" s="295"/>
      <c r="R43" s="200"/>
      <c r="S43" s="200"/>
      <c r="T43" s="196"/>
      <c r="U43" s="196"/>
      <c r="V43" s="196"/>
      <c r="W43" s="348"/>
      <c r="AH43" s="343" t="b">
        <f aca="true" t="shared" si="15" ref="AH43:AH49">C43=D43</f>
        <v>1</v>
      </c>
      <c r="AI43" s="677">
        <f t="shared" si="5"/>
        <v>0</v>
      </c>
      <c r="AJ43" s="129"/>
      <c r="AK43" s="129"/>
      <c r="AS43" s="372"/>
    </row>
    <row r="44" spans="1:45" ht="18.75" hidden="1">
      <c r="A44" s="296" t="s">
        <v>387</v>
      </c>
      <c r="B44" s="22" t="s">
        <v>352</v>
      </c>
      <c r="C44" s="201"/>
      <c r="D44" s="295"/>
      <c r="E44" s="295"/>
      <c r="F44" s="295"/>
      <c r="G44" s="295"/>
      <c r="H44" s="295"/>
      <c r="I44" s="295"/>
      <c r="J44" s="295"/>
      <c r="K44" s="295"/>
      <c r="L44" s="295"/>
      <c r="M44" s="297"/>
      <c r="N44" s="295"/>
      <c r="O44" s="295"/>
      <c r="P44" s="295"/>
      <c r="Q44" s="295"/>
      <c r="R44" s="200"/>
      <c r="S44" s="200"/>
      <c r="T44" s="196"/>
      <c r="U44" s="196"/>
      <c r="V44" s="196"/>
      <c r="W44" s="348"/>
      <c r="AH44" s="343" t="b">
        <f t="shared" si="15"/>
        <v>1</v>
      </c>
      <c r="AI44" s="677">
        <f t="shared" si="5"/>
        <v>0</v>
      </c>
      <c r="AJ44" s="129"/>
      <c r="AK44" s="129"/>
      <c r="AS44" s="372"/>
    </row>
    <row r="45" spans="1:45" ht="31.5" hidden="1">
      <c r="A45" s="296" t="s">
        <v>388</v>
      </c>
      <c r="B45" s="22" t="s">
        <v>353</v>
      </c>
      <c r="C45" s="200"/>
      <c r="D45" s="295"/>
      <c r="E45" s="295"/>
      <c r="F45" s="295"/>
      <c r="G45" s="295"/>
      <c r="H45" s="295"/>
      <c r="I45" s="295"/>
      <c r="J45" s="295"/>
      <c r="K45" s="295"/>
      <c r="L45" s="295"/>
      <c r="M45" s="297"/>
      <c r="N45" s="295"/>
      <c r="O45" s="295"/>
      <c r="P45" s="295"/>
      <c r="Q45" s="295"/>
      <c r="R45" s="200"/>
      <c r="S45" s="200"/>
      <c r="T45" s="196"/>
      <c r="U45" s="196"/>
      <c r="V45" s="196"/>
      <c r="W45" s="348"/>
      <c r="AH45" s="343" t="b">
        <f t="shared" si="15"/>
        <v>1</v>
      </c>
      <c r="AI45" s="677">
        <f t="shared" si="5"/>
        <v>0</v>
      </c>
      <c r="AJ45" s="129"/>
      <c r="AK45" s="129"/>
      <c r="AS45" s="372"/>
    </row>
    <row r="46" spans="1:45" ht="18.75" hidden="1">
      <c r="A46" s="296" t="s">
        <v>389</v>
      </c>
      <c r="B46" s="22" t="s">
        <v>288</v>
      </c>
      <c r="C46" s="201"/>
      <c r="D46" s="339"/>
      <c r="E46" s="339"/>
      <c r="F46" s="339"/>
      <c r="G46" s="339"/>
      <c r="H46" s="339"/>
      <c r="I46" s="339"/>
      <c r="J46" s="295"/>
      <c r="K46" s="339"/>
      <c r="L46" s="295"/>
      <c r="M46" s="297"/>
      <c r="N46" s="295"/>
      <c r="O46" s="295"/>
      <c r="P46" s="295"/>
      <c r="Q46" s="295"/>
      <c r="R46" s="200"/>
      <c r="S46" s="200"/>
      <c r="T46" s="196"/>
      <c r="U46" s="196"/>
      <c r="V46" s="196"/>
      <c r="W46" s="348"/>
      <c r="AH46" s="343" t="b">
        <f t="shared" si="15"/>
        <v>1</v>
      </c>
      <c r="AI46" s="677">
        <f t="shared" si="5"/>
        <v>0</v>
      </c>
      <c r="AJ46" s="129"/>
      <c r="AK46" s="129"/>
      <c r="AS46" s="372"/>
    </row>
    <row r="47" spans="1:45" ht="31.5" hidden="1">
      <c r="A47" s="296" t="s">
        <v>390</v>
      </c>
      <c r="B47" s="22" t="s">
        <v>351</v>
      </c>
      <c r="C47" s="201"/>
      <c r="D47" s="339"/>
      <c r="E47" s="339"/>
      <c r="F47" s="339"/>
      <c r="G47" s="339"/>
      <c r="H47" s="339"/>
      <c r="I47" s="339"/>
      <c r="J47" s="295"/>
      <c r="K47" s="339"/>
      <c r="L47" s="295"/>
      <c r="M47" s="297"/>
      <c r="N47" s="295"/>
      <c r="O47" s="295"/>
      <c r="P47" s="295"/>
      <c r="Q47" s="295"/>
      <c r="R47" s="200"/>
      <c r="S47" s="200"/>
      <c r="T47" s="196"/>
      <c r="U47" s="196"/>
      <c r="V47" s="196"/>
      <c r="W47" s="348"/>
      <c r="AH47" s="343" t="b">
        <f t="shared" si="15"/>
        <v>1</v>
      </c>
      <c r="AI47" s="677">
        <f t="shared" si="5"/>
        <v>0</v>
      </c>
      <c r="AJ47" s="129"/>
      <c r="AK47" s="129"/>
      <c r="AS47" s="372"/>
    </row>
    <row r="48" spans="1:45" ht="18.75" hidden="1">
      <c r="A48" s="296" t="s">
        <v>391</v>
      </c>
      <c r="B48" s="93" t="s">
        <v>43</v>
      </c>
      <c r="C48" s="201"/>
      <c r="D48" s="339"/>
      <c r="E48" s="339"/>
      <c r="F48" s="339"/>
      <c r="G48" s="339"/>
      <c r="H48" s="339"/>
      <c r="I48" s="339"/>
      <c r="J48" s="295"/>
      <c r="K48" s="339"/>
      <c r="L48" s="295"/>
      <c r="M48" s="297"/>
      <c r="N48" s="295"/>
      <c r="O48" s="295"/>
      <c r="P48" s="295"/>
      <c r="Q48" s="295"/>
      <c r="R48" s="200"/>
      <c r="S48" s="200"/>
      <c r="T48" s="196"/>
      <c r="U48" s="196"/>
      <c r="V48" s="196"/>
      <c r="W48" s="348"/>
      <c r="AH48" s="343" t="b">
        <f t="shared" si="15"/>
        <v>1</v>
      </c>
      <c r="AI48" s="677">
        <f t="shared" si="5"/>
        <v>0</v>
      </c>
      <c r="AJ48" s="129"/>
      <c r="AK48" s="129"/>
      <c r="AS48" s="372"/>
    </row>
    <row r="49" spans="1:45" ht="18.75" hidden="1">
      <c r="A49" s="296" t="s">
        <v>392</v>
      </c>
      <c r="B49" s="4"/>
      <c r="C49" s="200"/>
      <c r="D49" s="295"/>
      <c r="E49" s="295"/>
      <c r="F49" s="295"/>
      <c r="G49" s="295"/>
      <c r="H49" s="295"/>
      <c r="I49" s="295"/>
      <c r="J49" s="295"/>
      <c r="K49" s="295"/>
      <c r="L49" s="295"/>
      <c r="M49" s="297"/>
      <c r="N49" s="295"/>
      <c r="O49" s="295"/>
      <c r="P49" s="295"/>
      <c r="Q49" s="295"/>
      <c r="R49" s="200"/>
      <c r="S49" s="200"/>
      <c r="T49" s="196"/>
      <c r="U49" s="196"/>
      <c r="V49" s="196"/>
      <c r="W49" s="348"/>
      <c r="AH49" s="343" t="b">
        <f t="shared" si="15"/>
        <v>1</v>
      </c>
      <c r="AI49" s="677">
        <f t="shared" si="5"/>
        <v>0</v>
      </c>
      <c r="AJ49" s="129"/>
      <c r="AK49" s="129"/>
      <c r="AS49" s="372"/>
    </row>
    <row r="50" spans="1:37" ht="15.75" customHeight="1">
      <c r="A50" s="973" t="s">
        <v>329</v>
      </c>
      <c r="B50" s="943"/>
      <c r="C50" s="200"/>
      <c r="D50" s="295"/>
      <c r="E50" s="295"/>
      <c r="F50" s="295"/>
      <c r="G50" s="295"/>
      <c r="H50" s="295"/>
      <c r="I50" s="295"/>
      <c r="J50" s="295"/>
      <c r="K50" s="295"/>
      <c r="L50" s="295"/>
      <c r="M50" s="297"/>
      <c r="N50" s="295"/>
      <c r="O50" s="295"/>
      <c r="P50" s="295"/>
      <c r="Q50" s="295"/>
      <c r="R50" s="200"/>
      <c r="S50" s="200"/>
      <c r="T50" s="196"/>
      <c r="U50" s="196"/>
      <c r="V50" s="196"/>
      <c r="W50" s="348"/>
      <c r="AI50" s="677"/>
      <c r="AJ50" s="129"/>
      <c r="AK50" s="129"/>
    </row>
    <row r="51" spans="1:35" ht="18.75">
      <c r="A51" s="23"/>
      <c r="B51" s="22" t="s">
        <v>350</v>
      </c>
      <c r="C51" s="200"/>
      <c r="D51" s="295"/>
      <c r="E51" s="295">
        <f>G51+I51+K51+M51</f>
        <v>1.3070257725574677</v>
      </c>
      <c r="F51" s="295"/>
      <c r="G51" s="295">
        <f>8!F37*(16.95%/12*3)</f>
        <v>0.8112205974604698</v>
      </c>
      <c r="H51" s="295"/>
      <c r="I51" s="295">
        <f>8!H37*(16.95%/12*3)</f>
        <v>0.4958051750969979</v>
      </c>
      <c r="J51" s="295"/>
      <c r="K51" s="295">
        <v>0</v>
      </c>
      <c r="L51" s="295"/>
      <c r="M51" s="295">
        <v>0</v>
      </c>
      <c r="N51" s="686"/>
      <c r="O51" s="686"/>
      <c r="P51" s="686"/>
      <c r="Q51" s="295"/>
      <c r="R51" s="200"/>
      <c r="S51" s="200"/>
      <c r="T51" s="196"/>
      <c r="U51" s="196"/>
      <c r="V51" s="196"/>
      <c r="W51" s="5"/>
      <c r="AI51" s="677"/>
    </row>
    <row r="52" spans="1:35" ht="19.5" thickBot="1">
      <c r="A52" s="49" t="s">
        <v>277</v>
      </c>
      <c r="B52" s="50"/>
      <c r="C52" s="202"/>
      <c r="D52" s="342"/>
      <c r="E52" s="342"/>
      <c r="F52" s="342"/>
      <c r="G52" s="342"/>
      <c r="H52" s="342"/>
      <c r="I52" s="342"/>
      <c r="J52" s="342"/>
      <c r="K52" s="342"/>
      <c r="L52" s="342"/>
      <c r="M52" s="346"/>
      <c r="N52" s="342"/>
      <c r="O52" s="342"/>
      <c r="P52" s="342"/>
      <c r="Q52" s="342"/>
      <c r="R52" s="202"/>
      <c r="S52" s="202"/>
      <c r="T52" s="197"/>
      <c r="U52" s="197"/>
      <c r="V52" s="197"/>
      <c r="W52" s="51"/>
      <c r="AI52" s="676"/>
    </row>
    <row r="53" spans="1:23" ht="18.75">
      <c r="A53" s="47"/>
      <c r="B53" s="354"/>
      <c r="C53" s="355"/>
      <c r="D53" s="355"/>
      <c r="E53" s="356"/>
      <c r="F53" s="355"/>
      <c r="G53" s="355"/>
      <c r="H53" s="355"/>
      <c r="I53" s="355"/>
      <c r="J53" s="355"/>
      <c r="K53" s="355"/>
      <c r="L53" s="355"/>
      <c r="M53" s="357"/>
      <c r="N53" s="355"/>
      <c r="O53" s="355"/>
      <c r="P53" s="355"/>
      <c r="Q53" s="355"/>
      <c r="R53" s="24"/>
      <c r="S53" s="24"/>
      <c r="T53" s="24"/>
      <c r="U53" s="24"/>
      <c r="V53" s="24"/>
      <c r="W53" s="24"/>
    </row>
    <row r="54" spans="1:23" ht="18.75">
      <c r="A54" s="47"/>
      <c r="B54" s="352" t="s">
        <v>45</v>
      </c>
      <c r="C54" s="355"/>
      <c r="D54" s="354"/>
      <c r="E54" s="354"/>
      <c r="F54" s="354"/>
      <c r="G54" s="354"/>
      <c r="H54" s="354"/>
      <c r="I54" s="354"/>
      <c r="J54" s="354"/>
      <c r="K54" s="354"/>
      <c r="L54" s="354"/>
      <c r="M54" s="358"/>
      <c r="N54" s="354"/>
      <c r="O54" s="354"/>
      <c r="P54" s="354"/>
      <c r="Q54" s="354"/>
      <c r="R54" s="47"/>
      <c r="S54" s="47"/>
      <c r="T54" s="47"/>
      <c r="U54" s="47"/>
      <c r="V54" s="47"/>
      <c r="W54" s="47"/>
    </row>
    <row r="55" spans="1:38" ht="34.5" customHeight="1">
      <c r="A55" s="47"/>
      <c r="B55" s="974" t="s">
        <v>610</v>
      </c>
      <c r="C55" s="974"/>
      <c r="D55" s="974"/>
      <c r="E55" s="974"/>
      <c r="F55" s="974"/>
      <c r="G55" s="974"/>
      <c r="H55" s="974"/>
      <c r="I55" s="974"/>
      <c r="J55" s="974"/>
      <c r="K55" s="974"/>
      <c r="L55" s="354"/>
      <c r="M55" s="358"/>
      <c r="N55" s="354"/>
      <c r="O55" s="445"/>
      <c r="P55" s="354"/>
      <c r="Q55" s="354"/>
      <c r="R55" s="47"/>
      <c r="S55" s="47"/>
      <c r="T55" s="47"/>
      <c r="U55" s="47"/>
      <c r="V55" s="47"/>
      <c r="W55" s="47"/>
      <c r="AI55" s="360"/>
      <c r="AJ55" s="360"/>
      <c r="AL55" s="294"/>
    </row>
    <row r="56" spans="1:38" ht="15" customHeight="1">
      <c r="A56" s="24"/>
      <c r="B56" s="353" t="s">
        <v>47</v>
      </c>
      <c r="C56" s="353"/>
      <c r="I56" s="355"/>
      <c r="J56" s="355"/>
      <c r="K56" s="355"/>
      <c r="L56" s="355"/>
      <c r="M56" s="357"/>
      <c r="N56" s="355"/>
      <c r="O56" s="355"/>
      <c r="P56" s="355"/>
      <c r="Q56" s="355"/>
      <c r="R56" s="24"/>
      <c r="S56" s="24"/>
      <c r="T56" s="24"/>
      <c r="U56" s="24"/>
      <c r="V56" s="24"/>
      <c r="W56" s="24"/>
      <c r="AJ56" s="363"/>
      <c r="AK56" s="364"/>
      <c r="AL56" s="364"/>
    </row>
    <row r="57" spans="1:38" ht="15" customHeight="1">
      <c r="A57" s="24"/>
      <c r="B57" s="353" t="s">
        <v>646</v>
      </c>
      <c r="C57" s="353"/>
      <c r="I57" s="355"/>
      <c r="J57" s="355"/>
      <c r="K57" s="355"/>
      <c r="L57" s="355"/>
      <c r="M57" s="357"/>
      <c r="N57" s="355"/>
      <c r="O57" s="355"/>
      <c r="P57" s="355"/>
      <c r="Q57" s="355"/>
      <c r="R57" s="24"/>
      <c r="S57" s="24"/>
      <c r="T57" s="24"/>
      <c r="U57" s="24"/>
      <c r="V57" s="24"/>
      <c r="W57" s="24"/>
      <c r="AJ57" s="363"/>
      <c r="AK57" s="364"/>
      <c r="AL57" s="364"/>
    </row>
    <row r="58" spans="1:23" ht="18.75">
      <c r="A58" s="24"/>
      <c r="B58" s="963" t="s">
        <v>48</v>
      </c>
      <c r="C58" s="963"/>
      <c r="D58" s="963"/>
      <c r="E58" s="963"/>
      <c r="F58" s="963"/>
      <c r="G58" s="963"/>
      <c r="H58" s="963"/>
      <c r="I58" s="355"/>
      <c r="J58" s="355"/>
      <c r="K58" s="355"/>
      <c r="L58" s="355"/>
      <c r="M58" s="357"/>
      <c r="N58" s="355"/>
      <c r="O58" s="355"/>
      <c r="P58" s="355"/>
      <c r="Q58" s="355"/>
      <c r="R58" s="24"/>
      <c r="S58" s="24"/>
      <c r="T58" s="24"/>
      <c r="U58" s="24"/>
      <c r="V58" s="24"/>
      <c r="W58" s="24"/>
    </row>
    <row r="59" spans="1:23" ht="18.75">
      <c r="A59" s="24"/>
      <c r="B59" s="488"/>
      <c r="C59" s="488"/>
      <c r="D59" s="488"/>
      <c r="E59" s="488"/>
      <c r="F59" s="488"/>
      <c r="G59" s="488"/>
      <c r="H59" s="488"/>
      <c r="I59" s="355"/>
      <c r="J59" s="355"/>
      <c r="K59" s="355"/>
      <c r="L59" s="355"/>
      <c r="M59" s="357"/>
      <c r="N59" s="355"/>
      <c r="O59" s="355"/>
      <c r="P59" s="355"/>
      <c r="Q59" s="355"/>
      <c r="R59" s="24"/>
      <c r="S59" s="24"/>
      <c r="T59" s="24"/>
      <c r="U59" s="24"/>
      <c r="V59" s="24"/>
      <c r="W59" s="24"/>
    </row>
    <row r="60" spans="1:23" ht="15.75" customHeight="1">
      <c r="A60" s="24"/>
      <c r="B60" s="353"/>
      <c r="C60" s="353"/>
      <c r="I60" s="355"/>
      <c r="J60" s="355"/>
      <c r="K60" s="355"/>
      <c r="L60" s="355"/>
      <c r="M60" s="357"/>
      <c r="N60" s="355"/>
      <c r="O60" s="355"/>
      <c r="P60" s="355"/>
      <c r="Q60" s="355"/>
      <c r="R60" s="24"/>
      <c r="S60" s="24"/>
      <c r="T60" s="24"/>
      <c r="U60" s="24"/>
      <c r="V60" s="24"/>
      <c r="W60" s="24"/>
    </row>
    <row r="61" spans="1:23" ht="18.75">
      <c r="A61" s="24"/>
      <c r="B61" s="446" t="s">
        <v>582</v>
      </c>
      <c r="C61" s="446"/>
      <c r="D61" s="446"/>
      <c r="E61" s="446"/>
      <c r="F61" s="446"/>
      <c r="G61" s="446"/>
      <c r="H61" s="446"/>
      <c r="I61" s="446"/>
      <c r="J61" s="446"/>
      <c r="K61" s="446"/>
      <c r="L61" s="446"/>
      <c r="M61" s="446"/>
      <c r="N61" s="446"/>
      <c r="O61" s="446"/>
      <c r="P61" s="446"/>
      <c r="Q61" s="446"/>
      <c r="R61" s="24"/>
      <c r="S61" s="24"/>
      <c r="T61" s="24"/>
      <c r="U61" s="24"/>
      <c r="V61" s="24"/>
      <c r="W61" s="24"/>
    </row>
    <row r="62" spans="1:37" ht="18.75">
      <c r="A62" s="24"/>
      <c r="B62" s="24"/>
      <c r="C62" s="24"/>
      <c r="D62" s="355"/>
      <c r="E62" s="355"/>
      <c r="F62" s="355"/>
      <c r="G62" s="355"/>
      <c r="H62" s="355"/>
      <c r="I62" s="355"/>
      <c r="J62" s="355"/>
      <c r="K62" s="355"/>
      <c r="L62" s="355"/>
      <c r="M62" s="357"/>
      <c r="N62" s="355"/>
      <c r="O62" s="355"/>
      <c r="P62" s="355"/>
      <c r="Q62" s="355"/>
      <c r="R62" s="24"/>
      <c r="S62" s="24"/>
      <c r="T62" s="24"/>
      <c r="U62" s="24"/>
      <c r="V62" s="24"/>
      <c r="W62" s="24"/>
      <c r="AK62" s="360"/>
    </row>
    <row r="63" spans="1:35" s="598" customFormat="1" ht="15.75">
      <c r="A63" s="597"/>
      <c r="C63" s="599" t="b">
        <f>C17=C20+C21+C22+C23+C25+C26+C28+C29+C30+C31+C32+C33+C34+C37+C39+C40+C41+C42</f>
        <v>1</v>
      </c>
      <c r="D63" s="599" t="b">
        <f>D17=D20+D21+D22+D23+D25+D26+D28+D29+D30+D31+D32+D33+D34+D37+D39+D40+D41+D42</f>
        <v>1</v>
      </c>
      <c r="E63" s="599" t="b">
        <f>E17=E20+E21+E22+E23+E25+E26+E28+E29+E30+E31+E32+E33+E34+E37+E39+E40+E41+E42</f>
        <v>1</v>
      </c>
      <c r="F63" s="678">
        <f>F17-(F20+F21+F22+F23+F25+F26+F28+F29+F30+F31+F32+F33+F34+F37+F39+F40+F41+F42)</f>
        <v>6.329578873476294E-06</v>
      </c>
      <c r="G63" s="678">
        <f aca="true" t="shared" si="16" ref="G63:Q63">G17-(G20+G21+G22+G23+G25+G26+G28+G29+G30+G31+G32+G33+G34+G37+G39+G40+G41+G42)</f>
        <v>0</v>
      </c>
      <c r="H63" s="678">
        <f t="shared" si="16"/>
        <v>7.988936260971968E-06</v>
      </c>
      <c r="I63" s="678">
        <f t="shared" si="16"/>
        <v>0</v>
      </c>
      <c r="J63" s="678">
        <f t="shared" si="16"/>
        <v>1.4009591254193765E-05</v>
      </c>
      <c r="K63" s="678">
        <f t="shared" si="16"/>
        <v>0</v>
      </c>
      <c r="L63" s="678">
        <f t="shared" si="16"/>
        <v>4.651893593887735E-06</v>
      </c>
      <c r="M63" s="678">
        <f t="shared" si="16"/>
        <v>0</v>
      </c>
      <c r="N63" s="678">
        <f t="shared" si="16"/>
        <v>0</v>
      </c>
      <c r="O63" s="678">
        <f t="shared" si="16"/>
        <v>0</v>
      </c>
      <c r="P63" s="678">
        <f t="shared" si="16"/>
        <v>0</v>
      </c>
      <c r="Q63" s="678">
        <f t="shared" si="16"/>
        <v>0</v>
      </c>
      <c r="Y63" s="600"/>
      <c r="Z63" s="600"/>
      <c r="AA63" s="600"/>
      <c r="AI63" s="676"/>
    </row>
    <row r="64" spans="1:9" ht="18.75">
      <c r="A64" s="17"/>
      <c r="C64" s="18"/>
      <c r="G64" s="434"/>
      <c r="H64" s="434"/>
      <c r="I64" s="434"/>
    </row>
    <row r="65" spans="1:17" s="680" customFormat="1" ht="12.75">
      <c r="A65" s="681"/>
      <c r="C65" s="685">
        <f>C17-(C18+C35)</f>
        <v>0</v>
      </c>
      <c r="D65" s="685">
        <f aca="true" t="shared" si="17" ref="D65:Q65">D17-(D18+D35)</f>
        <v>0</v>
      </c>
      <c r="E65" s="685">
        <f t="shared" si="17"/>
        <v>0</v>
      </c>
      <c r="F65" s="685">
        <f t="shared" si="17"/>
        <v>6.329578866370866E-06</v>
      </c>
      <c r="G65" s="685">
        <f t="shared" si="17"/>
        <v>0</v>
      </c>
      <c r="H65" s="685">
        <f t="shared" si="17"/>
        <v>7.988936260971968E-06</v>
      </c>
      <c r="I65" s="685">
        <f t="shared" si="17"/>
        <v>0</v>
      </c>
      <c r="J65" s="685">
        <f t="shared" si="17"/>
        <v>1.4009591247088338E-05</v>
      </c>
      <c r="K65" s="685">
        <f t="shared" si="17"/>
        <v>0</v>
      </c>
      <c r="L65" s="685">
        <f t="shared" si="17"/>
        <v>4.6518935974404485E-06</v>
      </c>
      <c r="M65" s="685">
        <f t="shared" si="17"/>
        <v>0</v>
      </c>
      <c r="N65" s="685">
        <f t="shared" si="17"/>
        <v>0</v>
      </c>
      <c r="O65" s="685">
        <f t="shared" si="17"/>
        <v>0</v>
      </c>
      <c r="P65" s="685">
        <f t="shared" si="17"/>
        <v>0</v>
      </c>
      <c r="Q65" s="685">
        <f t="shared" si="17"/>
        <v>0</v>
      </c>
    </row>
    <row r="66" spans="1:17" s="680" customFormat="1" ht="12.75">
      <c r="A66" s="681"/>
      <c r="C66" s="685">
        <f>C17-(C19+C24+C27+C36+C38)</f>
        <v>0</v>
      </c>
      <c r="D66" s="685">
        <f aca="true" t="shared" si="18" ref="D66:Q66">D17-(D19+D24+D27+D36+D38)</f>
        <v>0</v>
      </c>
      <c r="E66" s="685">
        <f t="shared" si="18"/>
        <v>0</v>
      </c>
      <c r="F66" s="685">
        <f>F17-(F19+F24+F27+F36+F38)</f>
        <v>6.329578866370866E-06</v>
      </c>
      <c r="G66" s="685">
        <f t="shared" si="18"/>
        <v>0</v>
      </c>
      <c r="H66" s="685">
        <f t="shared" si="18"/>
        <v>7.988936260971968E-06</v>
      </c>
      <c r="I66" s="685">
        <f t="shared" si="18"/>
        <v>0</v>
      </c>
      <c r="J66" s="685">
        <f t="shared" si="18"/>
        <v>1.4009591247088338E-05</v>
      </c>
      <c r="K66" s="685">
        <f t="shared" si="18"/>
        <v>0</v>
      </c>
      <c r="L66" s="685">
        <f t="shared" si="18"/>
        <v>4.6518935974404485E-06</v>
      </c>
      <c r="M66" s="685">
        <f t="shared" si="18"/>
        <v>0</v>
      </c>
      <c r="N66" s="685">
        <f t="shared" si="18"/>
        <v>0</v>
      </c>
      <c r="O66" s="685">
        <f t="shared" si="18"/>
        <v>0</v>
      </c>
      <c r="P66" s="685">
        <f t="shared" si="18"/>
        <v>0</v>
      </c>
      <c r="Q66" s="685">
        <f t="shared" si="18"/>
        <v>0</v>
      </c>
    </row>
    <row r="67" spans="1:17" s="680" customFormat="1" ht="12.75">
      <c r="A67" s="681"/>
      <c r="C67" s="682"/>
      <c r="D67" s="683"/>
      <c r="E67" s="683"/>
      <c r="F67" s="683"/>
      <c r="G67" s="684"/>
      <c r="H67" s="684"/>
      <c r="I67" s="684"/>
      <c r="J67" s="683"/>
      <c r="K67" s="683"/>
      <c r="L67" s="683"/>
      <c r="M67" s="683"/>
      <c r="N67" s="679"/>
      <c r="O67" s="679"/>
      <c r="P67" s="679"/>
      <c r="Q67" s="679"/>
    </row>
    <row r="68" spans="3:23" ht="18.75">
      <c r="C68" s="601" t="b">
        <v>1</v>
      </c>
      <c r="D68" s="603">
        <v>0</v>
      </c>
      <c r="E68" s="542"/>
      <c r="F68" s="543"/>
      <c r="G68" s="544"/>
      <c r="H68" s="543"/>
      <c r="I68" s="545"/>
      <c r="J68" s="545"/>
      <c r="K68" s="545"/>
      <c r="L68" s="543"/>
      <c r="M68" s="546"/>
      <c r="N68" s="547"/>
      <c r="O68" s="548"/>
      <c r="P68" s="548"/>
      <c r="Q68" s="435"/>
      <c r="R68" s="26"/>
      <c r="S68" s="26"/>
      <c r="T68" s="26"/>
      <c r="U68" s="26"/>
      <c r="V68" s="26"/>
      <c r="W68" s="26"/>
    </row>
    <row r="69" spans="1:17" ht="18.75">
      <c r="A69" s="14"/>
      <c r="D69" s="436"/>
      <c r="E69" s="496"/>
      <c r="I69" s="675"/>
      <c r="Q69" s="437"/>
    </row>
    <row r="70" spans="4:17" ht="18.75">
      <c r="D70" s="383"/>
      <c r="F70" s="383"/>
      <c r="H70" s="383"/>
      <c r="J70" s="383"/>
      <c r="L70" s="383"/>
      <c r="Q70" s="437"/>
    </row>
    <row r="71" spans="4:27" s="300" customFormat="1" ht="12.75">
      <c r="D71" s="689"/>
      <c r="E71" s="690"/>
      <c r="F71" s="689"/>
      <c r="G71" s="690"/>
      <c r="H71" s="689"/>
      <c r="I71" s="690"/>
      <c r="J71" s="689"/>
      <c r="K71" s="690"/>
      <c r="L71" s="689"/>
      <c r="M71" s="690"/>
      <c r="N71" s="690"/>
      <c r="O71" s="690"/>
      <c r="P71" s="690"/>
      <c r="Q71" s="690"/>
      <c r="Y71" s="596"/>
      <c r="Z71" s="596"/>
      <c r="AA71" s="596"/>
    </row>
    <row r="72" spans="5:17" ht="18.75">
      <c r="E72" s="580">
        <v>7.123296</v>
      </c>
      <c r="F72" s="580"/>
      <c r="G72" s="580">
        <v>3.8403749</v>
      </c>
      <c r="H72" s="580"/>
      <c r="I72" s="580">
        <v>3.2829211000000003</v>
      </c>
      <c r="J72" s="580"/>
      <c r="K72" s="580">
        <v>0</v>
      </c>
      <c r="L72" s="580"/>
      <c r="M72" s="580">
        <v>0</v>
      </c>
      <c r="N72" s="580">
        <v>6.353238</v>
      </c>
      <c r="O72" s="580">
        <v>0</v>
      </c>
      <c r="P72" s="580">
        <v>0</v>
      </c>
      <c r="Q72" s="580">
        <v>0</v>
      </c>
    </row>
    <row r="73" spans="3:17" ht="18.75">
      <c r="C73" s="449"/>
      <c r="D73" s="433"/>
      <c r="E73" s="693">
        <f>E72+E23</f>
        <v>8.9744043396</v>
      </c>
      <c r="F73" s="705"/>
      <c r="G73" s="693">
        <f>G72+G23</f>
        <v>5.3230522396</v>
      </c>
      <c r="H73" s="705"/>
      <c r="I73" s="693">
        <f>I72+I23</f>
        <v>3.2829211000000003</v>
      </c>
      <c r="J73" s="705"/>
      <c r="K73" s="693">
        <f>K72+K23</f>
        <v>0.368431</v>
      </c>
      <c r="L73" s="705"/>
      <c r="M73" s="693">
        <f>M72+M23</f>
        <v>0</v>
      </c>
      <c r="N73" s="693">
        <f>N72+N23</f>
        <v>8.974404345</v>
      </c>
      <c r="O73" s="693">
        <f>O72+O23</f>
        <v>0</v>
      </c>
      <c r="P73" s="693">
        <f>P72+P23</f>
        <v>8.974404345</v>
      </c>
      <c r="Q73" s="693">
        <f>Q72+Q23</f>
        <v>0</v>
      </c>
    </row>
    <row r="74" spans="3:5" ht="18.75">
      <c r="C74" s="449"/>
      <c r="E74" s="693" t="b">
        <f>E73=G73+I73+K73+M73</f>
        <v>1</v>
      </c>
    </row>
    <row r="75" spans="3:5" ht="18.75">
      <c r="C75" s="449"/>
      <c r="E75" s="706">
        <f>E73-N73</f>
        <v>-5.400000446798003E-09</v>
      </c>
    </row>
    <row r="76" spans="3:14" ht="18.75">
      <c r="C76" s="449"/>
      <c r="E76" s="707">
        <f>E73-P73</f>
        <v>-5.400000446798003E-09</v>
      </c>
      <c r="N76" s="540"/>
    </row>
    <row r="77" spans="3:5" ht="18.75">
      <c r="C77" s="449"/>
      <c r="E77" s="383"/>
    </row>
    <row r="78" spans="5:17" ht="18.75">
      <c r="E78" s="637"/>
      <c r="F78" s="637"/>
      <c r="G78" s="637"/>
      <c r="H78" s="637"/>
      <c r="I78" s="637"/>
      <c r="J78" s="637"/>
      <c r="K78" s="637"/>
      <c r="L78" s="637"/>
      <c r="M78" s="637"/>
      <c r="N78" s="637"/>
      <c r="O78" s="637"/>
      <c r="P78" s="637"/>
      <c r="Q78" s="637"/>
    </row>
    <row r="79" spans="1:43" s="676" customFormat="1" ht="18.75">
      <c r="A79" s="866" t="s">
        <v>264</v>
      </c>
      <c r="B79" s="676" t="s">
        <v>798</v>
      </c>
      <c r="D79" s="853"/>
      <c r="E79" s="853">
        <f>53.80164841-1.35058*1.18</f>
        <v>52.20796401</v>
      </c>
      <c r="F79" s="854"/>
      <c r="G79" s="853"/>
      <c r="H79" s="853"/>
      <c r="I79" s="853"/>
      <c r="J79" s="853"/>
      <c r="K79" s="853"/>
      <c r="L79" s="853"/>
      <c r="M79" s="853"/>
      <c r="N79" s="855">
        <f>28.08984754*1.18</f>
        <v>33.1460200972</v>
      </c>
      <c r="O79" s="856">
        <f>4.86224946+0.8752049</f>
        <v>5.73745436</v>
      </c>
      <c r="P79" s="856">
        <f>(25.74095144+25.56078217+5.0980599+6.74309472+5.09805989)*1.18</f>
        <v>80.52431878159999</v>
      </c>
      <c r="Q79" s="856"/>
      <c r="Y79" s="857"/>
      <c r="Z79" s="857"/>
      <c r="AA79" s="857"/>
      <c r="AO79" s="858"/>
      <c r="AQ79" s="858"/>
    </row>
    <row r="80" spans="4:43" s="676" customFormat="1" ht="18.75">
      <c r="D80" s="853"/>
      <c r="E80" s="859" t="b">
        <f>E79=E20</f>
        <v>1</v>
      </c>
      <c r="F80" s="854"/>
      <c r="G80" s="853"/>
      <c r="H80" s="853"/>
      <c r="I80" s="854"/>
      <c r="J80" s="853"/>
      <c r="K80" s="853"/>
      <c r="L80" s="853"/>
      <c r="M80" s="853"/>
      <c r="N80" s="855" t="b">
        <f>N20=N79</f>
        <v>1</v>
      </c>
      <c r="O80" s="865">
        <f>O20-O79</f>
        <v>2.799999343494619E-09</v>
      </c>
      <c r="P80" s="855" t="b">
        <f>P20=P79</f>
        <v>1</v>
      </c>
      <c r="Q80" s="856"/>
      <c r="Y80" s="857"/>
      <c r="Z80" s="857"/>
      <c r="AA80" s="857"/>
      <c r="AO80" s="858"/>
      <c r="AQ80" s="858"/>
    </row>
    <row r="81" spans="4:43" s="676" customFormat="1" ht="18.75">
      <c r="D81" s="853"/>
      <c r="E81" s="859">
        <f>93.76062841-(1.35058*1.18)+4.38193442</f>
        <v>96.54887843</v>
      </c>
      <c r="F81" s="854"/>
      <c r="G81" s="853"/>
      <c r="H81" s="853"/>
      <c r="I81" s="690"/>
      <c r="J81" s="853"/>
      <c r="K81" s="853"/>
      <c r="L81" s="853"/>
      <c r="M81" s="853"/>
      <c r="N81" s="855">
        <v>89.26222481139999</v>
      </c>
      <c r="O81" s="860"/>
      <c r="P81" s="855">
        <v>80.5243187816</v>
      </c>
      <c r="Q81" s="856"/>
      <c r="Y81" s="857"/>
      <c r="Z81" s="857"/>
      <c r="AA81" s="857"/>
      <c r="AO81" s="858"/>
      <c r="AQ81" s="858"/>
    </row>
    <row r="82" spans="4:43" s="676" customFormat="1" ht="18.75">
      <c r="D82" s="853"/>
      <c r="E82" s="861" t="b">
        <v>1</v>
      </c>
      <c r="F82" s="854"/>
      <c r="G82" s="853"/>
      <c r="H82" s="853"/>
      <c r="I82" s="853"/>
      <c r="J82" s="853"/>
      <c r="K82" s="853"/>
      <c r="L82" s="853"/>
      <c r="M82" s="853"/>
      <c r="N82" s="862" t="b">
        <f>(75.90595323-0.26)*1.18=N81</f>
        <v>1</v>
      </c>
      <c r="O82" s="856"/>
      <c r="P82" s="856" t="b">
        <f>P81=P20</f>
        <v>1</v>
      </c>
      <c r="Q82" s="856"/>
      <c r="Y82" s="857"/>
      <c r="Z82" s="857"/>
      <c r="AA82" s="857"/>
      <c r="AO82" s="858"/>
      <c r="AQ82" s="858"/>
    </row>
    <row r="83" spans="4:43" s="676" customFormat="1" ht="18.75">
      <c r="D83" s="853"/>
      <c r="E83" s="863"/>
      <c r="F83" s="853"/>
      <c r="G83" s="853"/>
      <c r="H83" s="853"/>
      <c r="I83" s="853"/>
      <c r="J83" s="853"/>
      <c r="K83" s="853"/>
      <c r="L83" s="853"/>
      <c r="M83" s="853"/>
      <c r="N83" s="856"/>
      <c r="O83" s="856"/>
      <c r="P83" s="856"/>
      <c r="Q83" s="856"/>
      <c r="Y83" s="857"/>
      <c r="Z83" s="857"/>
      <c r="AA83" s="857"/>
      <c r="AO83" s="858"/>
      <c r="AQ83" s="858"/>
    </row>
    <row r="84" spans="1:43" s="676" customFormat="1" ht="18.75">
      <c r="A84" s="867" t="str">
        <f>A21</f>
        <v>1.1.2</v>
      </c>
      <c r="B84" s="676" t="s">
        <v>799</v>
      </c>
      <c r="D84" s="853"/>
      <c r="E84" s="853">
        <f>2.8839436-(0.33738-0.10824-0.13529)*1.18+0.16625424*1.18</f>
        <v>2.9693806032</v>
      </c>
      <c r="F84" s="853"/>
      <c r="G84" s="853"/>
      <c r="H84" s="853"/>
      <c r="I84" s="853"/>
      <c r="J84" s="853"/>
      <c r="K84" s="853"/>
      <c r="L84" s="853"/>
      <c r="M84" s="863"/>
      <c r="N84" s="856">
        <f>2.10664*1.18+(0.10824+0.13529)*1.18+0.16625424*1.18</f>
        <v>2.9693806032</v>
      </c>
      <c r="O84" s="855">
        <v>0</v>
      </c>
      <c r="P84" s="856">
        <f>2.51642424*1.18</f>
        <v>2.9693806032</v>
      </c>
      <c r="Q84" s="856">
        <v>0</v>
      </c>
      <c r="Y84" s="857"/>
      <c r="Z84" s="857"/>
      <c r="AA84" s="857"/>
      <c r="AO84" s="858"/>
      <c r="AQ84" s="858"/>
    </row>
    <row r="85" spans="4:43" s="676" customFormat="1" ht="18.75">
      <c r="D85" s="853"/>
      <c r="E85" s="853" t="b">
        <f>E84=E21</f>
        <v>1</v>
      </c>
      <c r="F85" s="853"/>
      <c r="G85" s="853"/>
      <c r="H85" s="863"/>
      <c r="I85" s="853"/>
      <c r="J85" s="853"/>
      <c r="K85" s="853"/>
      <c r="L85" s="853"/>
      <c r="M85" s="853"/>
      <c r="N85" s="856" t="b">
        <f>N84=N21</f>
        <v>1</v>
      </c>
      <c r="O85" s="856" t="b">
        <f>O84=O21</f>
        <v>1</v>
      </c>
      <c r="P85" s="856" t="b">
        <f>P84=P21</f>
        <v>1</v>
      </c>
      <c r="Q85" s="856" t="b">
        <f>Q84=Q21</f>
        <v>1</v>
      </c>
      <c r="Y85" s="857"/>
      <c r="Z85" s="857"/>
      <c r="AA85" s="857"/>
      <c r="AO85" s="858"/>
      <c r="AQ85" s="858"/>
    </row>
    <row r="86" spans="4:43" s="676" customFormat="1" ht="18.75">
      <c r="D86" s="853"/>
      <c r="E86" s="853"/>
      <c r="F86" s="863"/>
      <c r="G86" s="853"/>
      <c r="H86" s="853"/>
      <c r="I86" s="853"/>
      <c r="J86" s="853"/>
      <c r="K86" s="853"/>
      <c r="L86" s="853"/>
      <c r="M86" s="853"/>
      <c r="N86" s="856">
        <f>2.51642424*1.18</f>
        <v>2.9693806032</v>
      </c>
      <c r="O86" s="856"/>
      <c r="P86" s="856"/>
      <c r="Q86" s="856"/>
      <c r="Y86" s="857"/>
      <c r="Z86" s="857"/>
      <c r="AA86" s="857"/>
      <c r="AO86" s="858"/>
      <c r="AQ86" s="858"/>
    </row>
    <row r="87" spans="4:43" s="676" customFormat="1" ht="18.75">
      <c r="D87" s="853"/>
      <c r="E87" s="853"/>
      <c r="F87" s="863"/>
      <c r="G87" s="853"/>
      <c r="H87" s="853"/>
      <c r="I87" s="853"/>
      <c r="J87" s="853"/>
      <c r="K87" s="853"/>
      <c r="L87" s="853"/>
      <c r="M87" s="853"/>
      <c r="N87" s="856" t="b">
        <f>N86=N21</f>
        <v>1</v>
      </c>
      <c r="O87" s="856"/>
      <c r="P87" s="856"/>
      <c r="Q87" s="856"/>
      <c r="Y87" s="857"/>
      <c r="Z87" s="857"/>
      <c r="AA87" s="857"/>
      <c r="AO87" s="858"/>
      <c r="AQ87" s="858"/>
    </row>
    <row r="88" spans="4:43" s="676" customFormat="1" ht="18.75">
      <c r="D88" s="853"/>
      <c r="E88" s="853"/>
      <c r="F88" s="863"/>
      <c r="G88" s="853"/>
      <c r="H88" s="853"/>
      <c r="I88" s="853"/>
      <c r="J88" s="853"/>
      <c r="K88" s="853"/>
      <c r="L88" s="853"/>
      <c r="M88" s="853"/>
      <c r="N88" s="856"/>
      <c r="O88" s="856"/>
      <c r="P88" s="856"/>
      <c r="Q88" s="856"/>
      <c r="Y88" s="857"/>
      <c r="Z88" s="857"/>
      <c r="AA88" s="857"/>
      <c r="AO88" s="858"/>
      <c r="AQ88" s="858"/>
    </row>
    <row r="89" spans="1:43" s="676" customFormat="1" ht="18.75">
      <c r="A89" s="867" t="str">
        <f>A22</f>
        <v>1.1.3</v>
      </c>
      <c r="B89" s="676" t="s">
        <v>800</v>
      </c>
      <c r="D89" s="853"/>
      <c r="E89" s="853">
        <v>12.98301525</v>
      </c>
      <c r="F89" s="863"/>
      <c r="G89" s="853"/>
      <c r="H89" s="853"/>
      <c r="I89" s="853"/>
      <c r="J89" s="853"/>
      <c r="K89" s="853"/>
      <c r="L89" s="853"/>
      <c r="M89" s="853"/>
      <c r="N89" s="856">
        <f>0.46310532+0.08335893</f>
        <v>0.54646425</v>
      </c>
      <c r="O89" s="856">
        <f>0.46310532+0.08335893</f>
        <v>0.54646425</v>
      </c>
      <c r="P89" s="856"/>
      <c r="Q89" s="856"/>
      <c r="Y89" s="857"/>
      <c r="Z89" s="857"/>
      <c r="AA89" s="857"/>
      <c r="AO89" s="858"/>
      <c r="AQ89" s="858"/>
    </row>
    <row r="90" spans="4:43" s="676" customFormat="1" ht="18.75">
      <c r="D90" s="853"/>
      <c r="E90" s="853" t="b">
        <f>E89=E22</f>
        <v>1</v>
      </c>
      <c r="F90" s="863"/>
      <c r="G90" s="853"/>
      <c r="H90" s="853"/>
      <c r="I90" s="853"/>
      <c r="J90" s="853"/>
      <c r="K90" s="853"/>
      <c r="L90" s="853"/>
      <c r="M90" s="853"/>
      <c r="N90" s="868">
        <f>N89-N22</f>
        <v>-2.7599999952165888E-08</v>
      </c>
      <c r="O90" s="868">
        <f>O89-O22</f>
        <v>-2.7599999952165888E-08</v>
      </c>
      <c r="P90" s="856"/>
      <c r="Q90" s="856"/>
      <c r="Y90" s="857"/>
      <c r="Z90" s="857"/>
      <c r="AA90" s="857"/>
      <c r="AO90" s="858"/>
      <c r="AQ90" s="858"/>
    </row>
    <row r="91" spans="4:43" s="676" customFormat="1" ht="18.75">
      <c r="D91" s="853"/>
      <c r="E91" s="853"/>
      <c r="F91" s="863"/>
      <c r="G91" s="853"/>
      <c r="H91" s="853"/>
      <c r="I91" s="853"/>
      <c r="J91" s="853"/>
      <c r="K91" s="853"/>
      <c r="L91" s="853"/>
      <c r="M91" s="853"/>
      <c r="N91" s="856"/>
      <c r="O91" s="856"/>
      <c r="P91" s="856"/>
      <c r="Q91" s="856"/>
      <c r="Y91" s="857"/>
      <c r="Z91" s="857"/>
      <c r="AA91" s="857"/>
      <c r="AO91" s="858"/>
      <c r="AQ91" s="858"/>
    </row>
    <row r="92" spans="1:43" s="676" customFormat="1" ht="18.75">
      <c r="A92" s="867" t="str">
        <f>A23</f>
        <v>1.1.4</v>
      </c>
      <c r="B92" s="676" t="s">
        <v>801</v>
      </c>
      <c r="D92" s="853"/>
      <c r="E92" s="853">
        <f>0.03061958*1.18+(1.60898664*1.18-0.452058)+0.368431</f>
        <v>1.8511083395999997</v>
      </c>
      <c r="F92" s="864"/>
      <c r="G92" s="853"/>
      <c r="H92" s="853"/>
      <c r="I92" s="853"/>
      <c r="J92" s="853"/>
      <c r="K92" s="853"/>
      <c r="L92" s="853"/>
      <c r="M92" s="853"/>
      <c r="N92" s="853">
        <f>0.03061958*1.18+(1.60898664*1.18)+0.368431+0.318</f>
        <v>2.6211663396</v>
      </c>
      <c r="O92" s="856">
        <v>0</v>
      </c>
      <c r="P92" s="856">
        <f>(5.3841+0.03061958+0.26949153)*1.18+0.368431+((7.66162875-5.68421111-0.368431))*1.18</f>
        <v>8.974404345</v>
      </c>
      <c r="Q92" s="856">
        <v>0</v>
      </c>
      <c r="Y92" s="857"/>
      <c r="Z92" s="857"/>
      <c r="AA92" s="857"/>
      <c r="AO92" s="858"/>
      <c r="AQ92" s="858"/>
    </row>
    <row r="93" spans="4:43" s="676" customFormat="1" ht="18.75">
      <c r="D93" s="853"/>
      <c r="E93" s="853" t="b">
        <f>E92=E23</f>
        <v>1</v>
      </c>
      <c r="F93" s="853"/>
      <c r="G93" s="853"/>
      <c r="H93" s="853"/>
      <c r="I93" s="853"/>
      <c r="J93" s="853"/>
      <c r="K93" s="853"/>
      <c r="L93" s="853"/>
      <c r="M93" s="853"/>
      <c r="N93" s="860">
        <f>N92-N23</f>
        <v>-5.4000000027087935E-09</v>
      </c>
      <c r="O93" s="860">
        <f>O92-O23</f>
        <v>0</v>
      </c>
      <c r="P93" s="856" t="b">
        <f>P92=P23</f>
        <v>1</v>
      </c>
      <c r="Q93" s="856" t="b">
        <f>Q92=Q23</f>
        <v>1</v>
      </c>
      <c r="Y93" s="857"/>
      <c r="Z93" s="857"/>
      <c r="AA93" s="857"/>
      <c r="AO93" s="858"/>
      <c r="AQ93" s="858"/>
    </row>
    <row r="94" spans="4:43" s="676" customFormat="1" ht="18.75">
      <c r="D94" s="853"/>
      <c r="E94" s="863">
        <f>0.368431+(7.9987498-0.8754538)+0.03061958*1.18+(1.60898664*1.18-0.452058)</f>
        <v>8.9744043396</v>
      </c>
      <c r="F94" s="853"/>
      <c r="G94" s="853"/>
      <c r="H94" s="853"/>
      <c r="I94" s="853"/>
      <c r="J94" s="853"/>
      <c r="K94" s="853"/>
      <c r="L94" s="853"/>
      <c r="M94" s="853"/>
      <c r="N94" s="859">
        <f>0.368431+(7.9987498-0.8754538)+0.03061958*1.18+(1.60898664*1.18-0.452058)</f>
        <v>8.9744043396</v>
      </c>
      <c r="O94" s="856"/>
      <c r="P94" s="859">
        <f>0.368431+(7.9987498-0.8754538)+0.03061958*1.18+(1.60898664*1.18-0.452058)</f>
        <v>8.9744043396</v>
      </c>
      <c r="Q94" s="856"/>
      <c r="Y94" s="857"/>
      <c r="Z94" s="857"/>
      <c r="AA94" s="857"/>
      <c r="AO94" s="858"/>
      <c r="AQ94" s="858"/>
    </row>
    <row r="95" spans="4:43" s="676" customFormat="1" ht="18.75">
      <c r="D95" s="853"/>
      <c r="E95" s="863" t="b">
        <v>1</v>
      </c>
      <c r="F95" s="853"/>
      <c r="G95" s="853"/>
      <c r="H95" s="853"/>
      <c r="I95" s="853"/>
      <c r="J95" s="853"/>
      <c r="K95" s="853"/>
      <c r="L95" s="853"/>
      <c r="M95" s="853"/>
      <c r="N95" s="860">
        <v>5.400000446798003E-09</v>
      </c>
      <c r="O95" s="856"/>
      <c r="P95" s="860">
        <v>5.400000446798003E-09</v>
      </c>
      <c r="Q95" s="856"/>
      <c r="Y95" s="857"/>
      <c r="Z95" s="857"/>
      <c r="AA95" s="857"/>
      <c r="AO95" s="858"/>
      <c r="AQ95" s="858"/>
    </row>
    <row r="96" spans="4:43" s="676" customFormat="1" ht="18.75">
      <c r="D96" s="853"/>
      <c r="E96" s="853"/>
      <c r="F96" s="853"/>
      <c r="G96" s="853"/>
      <c r="H96" s="853"/>
      <c r="I96" s="853"/>
      <c r="J96" s="853"/>
      <c r="K96" s="853"/>
      <c r="L96" s="853"/>
      <c r="M96" s="853"/>
      <c r="N96" s="856"/>
      <c r="O96" s="856"/>
      <c r="P96" s="856"/>
      <c r="Q96" s="856"/>
      <c r="Y96" s="857"/>
      <c r="Z96" s="857"/>
      <c r="AA96" s="857"/>
      <c r="AO96" s="858"/>
      <c r="AQ96" s="858"/>
    </row>
    <row r="97" spans="1:43" s="676" customFormat="1" ht="18.75">
      <c r="A97" s="867" t="str">
        <f>A25</f>
        <v>1.2.1</v>
      </c>
      <c r="B97" s="676" t="s">
        <v>802</v>
      </c>
      <c r="D97" s="853"/>
      <c r="E97" s="853">
        <f>0.81864407/2+((1.59229826-0.81864407)*1.18)/2</f>
        <v>0.8657780071</v>
      </c>
      <c r="F97" s="853"/>
      <c r="G97" s="853"/>
      <c r="H97" s="853"/>
      <c r="I97" s="853"/>
      <c r="J97" s="853"/>
      <c r="K97" s="853"/>
      <c r="L97" s="853"/>
      <c r="M97" s="853"/>
      <c r="N97" s="853">
        <f>0.81864407/2+((1.59229826-0.81864407)*1.18)/2</f>
        <v>0.8657780071</v>
      </c>
      <c r="O97" s="856">
        <v>0</v>
      </c>
      <c r="P97" s="853">
        <f>0.81864407/2+((1.59229826-0.81864407)*1.18)/2</f>
        <v>0.8657780071</v>
      </c>
      <c r="Q97" s="856">
        <v>0</v>
      </c>
      <c r="Y97" s="857"/>
      <c r="Z97" s="857"/>
      <c r="AA97" s="857"/>
      <c r="AO97" s="858"/>
      <c r="AQ97" s="858"/>
    </row>
    <row r="98" spans="4:43" s="676" customFormat="1" ht="18.75">
      <c r="D98" s="853"/>
      <c r="E98" s="853" t="b">
        <f>E97=E25</f>
        <v>1</v>
      </c>
      <c r="F98" s="853"/>
      <c r="G98" s="853"/>
      <c r="H98" s="853"/>
      <c r="I98" s="853"/>
      <c r="J98" s="853"/>
      <c r="K98" s="853"/>
      <c r="L98" s="853"/>
      <c r="M98" s="853"/>
      <c r="N98" s="853" t="b">
        <f>N97=N25</f>
        <v>1</v>
      </c>
      <c r="O98" s="853" t="b">
        <f>O97=O25</f>
        <v>1</v>
      </c>
      <c r="P98" s="853" t="b">
        <f>P97=P25</f>
        <v>1</v>
      </c>
      <c r="Q98" s="853" t="b">
        <f>Q97=Q25</f>
        <v>1</v>
      </c>
      <c r="Y98" s="857"/>
      <c r="Z98" s="857"/>
      <c r="AA98" s="857"/>
      <c r="AO98" s="858"/>
      <c r="AQ98" s="858"/>
    </row>
    <row r="99" spans="4:43" s="676" customFormat="1" ht="18.75">
      <c r="D99" s="853"/>
      <c r="E99" s="853"/>
      <c r="F99" s="853"/>
      <c r="G99" s="853"/>
      <c r="H99" s="853"/>
      <c r="I99" s="853"/>
      <c r="J99" s="853"/>
      <c r="K99" s="853"/>
      <c r="L99" s="853"/>
      <c r="M99" s="853"/>
      <c r="N99" s="856">
        <f>((1.59229826-0.81864407)*1.18+0.81864407)/2</f>
        <v>0.8657780071</v>
      </c>
      <c r="O99" s="856"/>
      <c r="P99" s="856"/>
      <c r="Q99" s="856"/>
      <c r="Y99" s="857"/>
      <c r="Z99" s="857"/>
      <c r="AA99" s="857"/>
      <c r="AO99" s="858"/>
      <c r="AQ99" s="858"/>
    </row>
    <row r="100" spans="4:43" s="676" customFormat="1" ht="18.75">
      <c r="D100" s="853"/>
      <c r="E100" s="853"/>
      <c r="F100" s="853"/>
      <c r="G100" s="853"/>
      <c r="H100" s="853"/>
      <c r="I100" s="853"/>
      <c r="J100" s="853"/>
      <c r="K100" s="853"/>
      <c r="L100" s="853"/>
      <c r="M100" s="853"/>
      <c r="N100" s="856" t="b">
        <f>N99=N25</f>
        <v>1</v>
      </c>
      <c r="O100" s="856"/>
      <c r="P100" s="856"/>
      <c r="Q100" s="856"/>
      <c r="Y100" s="857"/>
      <c r="Z100" s="857"/>
      <c r="AA100" s="857"/>
      <c r="AO100" s="858"/>
      <c r="AQ100" s="858"/>
    </row>
    <row r="101" spans="4:43" s="676" customFormat="1" ht="18.75">
      <c r="D101" s="853"/>
      <c r="E101" s="853"/>
      <c r="F101" s="853"/>
      <c r="G101" s="853"/>
      <c r="H101" s="853"/>
      <c r="I101" s="853"/>
      <c r="J101" s="853"/>
      <c r="K101" s="853"/>
      <c r="L101" s="853"/>
      <c r="M101" s="853"/>
      <c r="N101" s="856"/>
      <c r="O101" s="856"/>
      <c r="P101" s="856"/>
      <c r="Q101" s="856"/>
      <c r="Y101" s="857"/>
      <c r="Z101" s="857"/>
      <c r="AA101" s="857"/>
      <c r="AO101" s="858"/>
      <c r="AQ101" s="858"/>
    </row>
    <row r="102" spans="1:43" s="676" customFormat="1" ht="18.75">
      <c r="A102" s="867" t="str">
        <f>A26</f>
        <v>1.2.2</v>
      </c>
      <c r="B102" s="676" t="s">
        <v>803</v>
      </c>
      <c r="D102" s="853"/>
      <c r="E102" s="853">
        <f>0.81864407/2+((1.59229826-0.81864407)*1.18)/2</f>
        <v>0.8657780071</v>
      </c>
      <c r="F102" s="853"/>
      <c r="G102" s="853"/>
      <c r="H102" s="853"/>
      <c r="I102" s="853"/>
      <c r="J102" s="853"/>
      <c r="K102" s="853"/>
      <c r="L102" s="853"/>
      <c r="M102" s="853"/>
      <c r="N102" s="853">
        <f>0.81864407/2+((1.59229826-0.81864407)*1.18)/2</f>
        <v>0.8657780071</v>
      </c>
      <c r="O102" s="856">
        <v>0</v>
      </c>
      <c r="P102" s="853">
        <f>0.81864407/2+((1.59229826-0.81864407)*1.18)/2</f>
        <v>0.8657780071</v>
      </c>
      <c r="Q102" s="856">
        <v>0</v>
      </c>
      <c r="Y102" s="857"/>
      <c r="Z102" s="857"/>
      <c r="AA102" s="857"/>
      <c r="AO102" s="858"/>
      <c r="AQ102" s="858"/>
    </row>
    <row r="103" spans="4:43" s="676" customFormat="1" ht="18.75">
      <c r="D103" s="853"/>
      <c r="E103" s="853" t="b">
        <f>E102=E26</f>
        <v>1</v>
      </c>
      <c r="F103" s="853"/>
      <c r="G103" s="853"/>
      <c r="H103" s="853"/>
      <c r="I103" s="853"/>
      <c r="J103" s="853"/>
      <c r="K103" s="853"/>
      <c r="L103" s="853"/>
      <c r="M103" s="853"/>
      <c r="N103" s="856" t="b">
        <f>N102=N26</f>
        <v>1</v>
      </c>
      <c r="O103" s="856" t="b">
        <f>O102=O26</f>
        <v>1</v>
      </c>
      <c r="P103" s="856" t="b">
        <f>P102=P26</f>
        <v>1</v>
      </c>
      <c r="Q103" s="856" t="b">
        <f>Q102=Q26</f>
        <v>1</v>
      </c>
      <c r="Y103" s="857"/>
      <c r="Z103" s="857"/>
      <c r="AA103" s="857"/>
      <c r="AO103" s="858"/>
      <c r="AQ103" s="858"/>
    </row>
    <row r="104" spans="4:43" s="676" customFormat="1" ht="18.75">
      <c r="D104" s="853"/>
      <c r="E104" s="853"/>
      <c r="F104" s="853"/>
      <c r="G104" s="853"/>
      <c r="H104" s="853"/>
      <c r="I104" s="853"/>
      <c r="J104" s="853"/>
      <c r="K104" s="853"/>
      <c r="L104" s="853"/>
      <c r="M104" s="853"/>
      <c r="N104" s="856">
        <f>((1.59229826-0.81864407)*1.18+0.81864407)/2</f>
        <v>0.8657780071</v>
      </c>
      <c r="O104" s="856"/>
      <c r="P104" s="856"/>
      <c r="Q104" s="856"/>
      <c r="Y104" s="857"/>
      <c r="Z104" s="857"/>
      <c r="AA104" s="857"/>
      <c r="AO104" s="858"/>
      <c r="AQ104" s="858"/>
    </row>
    <row r="105" spans="4:43" s="676" customFormat="1" ht="18.75">
      <c r="D105" s="853"/>
      <c r="E105" s="853"/>
      <c r="F105" s="853"/>
      <c r="G105" s="853"/>
      <c r="H105" s="853"/>
      <c r="I105" s="853"/>
      <c r="J105" s="853"/>
      <c r="K105" s="853"/>
      <c r="L105" s="853"/>
      <c r="M105" s="853"/>
      <c r="N105" s="856" t="b">
        <f>N104=N26</f>
        <v>1</v>
      </c>
      <c r="O105" s="856"/>
      <c r="P105" s="856"/>
      <c r="Q105" s="856"/>
      <c r="Y105" s="857"/>
      <c r="Z105" s="857"/>
      <c r="AA105" s="857"/>
      <c r="AO105" s="858"/>
      <c r="AQ105" s="858"/>
    </row>
    <row r="106" spans="1:43" s="676" customFormat="1" ht="18.75">
      <c r="A106" s="867" t="str">
        <f>A28</f>
        <v>1.3.1</v>
      </c>
      <c r="B106" s="676" t="s">
        <v>804</v>
      </c>
      <c r="D106" s="853"/>
      <c r="E106" s="853">
        <f>0.43431418</f>
        <v>0.43431418</v>
      </c>
      <c r="F106" s="853"/>
      <c r="G106" s="853"/>
      <c r="H106" s="853"/>
      <c r="I106" s="853"/>
      <c r="J106" s="853"/>
      <c r="K106" s="853"/>
      <c r="L106" s="853"/>
      <c r="M106" s="853"/>
      <c r="N106" s="856">
        <f>0.36806287*1.18</f>
        <v>0.4343141866</v>
      </c>
      <c r="O106" s="856"/>
      <c r="P106" s="856">
        <v>0</v>
      </c>
      <c r="Q106" s="856">
        <v>0</v>
      </c>
      <c r="Y106" s="857"/>
      <c r="Z106" s="857"/>
      <c r="AA106" s="857"/>
      <c r="AO106" s="858"/>
      <c r="AQ106" s="858"/>
    </row>
    <row r="107" spans="4:43" s="676" customFormat="1" ht="18.75">
      <c r="D107" s="853"/>
      <c r="E107" s="853" t="b">
        <f>E106=E28</f>
        <v>1</v>
      </c>
      <c r="F107" s="853"/>
      <c r="G107" s="853"/>
      <c r="H107" s="853"/>
      <c r="I107" s="853"/>
      <c r="J107" s="853"/>
      <c r="K107" s="853"/>
      <c r="L107" s="853"/>
      <c r="M107" s="853"/>
      <c r="N107" s="856" t="b">
        <f>N106=N28</f>
        <v>1</v>
      </c>
      <c r="O107" s="856"/>
      <c r="P107" s="856" t="b">
        <f>P106=P28</f>
        <v>1</v>
      </c>
      <c r="Q107" s="856" t="b">
        <f>Q106=Q28</f>
        <v>1</v>
      </c>
      <c r="Y107" s="857"/>
      <c r="Z107" s="857"/>
      <c r="AA107" s="857"/>
      <c r="AO107" s="858"/>
      <c r="AQ107" s="858"/>
    </row>
    <row r="108" spans="4:43" s="676" customFormat="1" ht="18.75">
      <c r="D108" s="853"/>
      <c r="E108" s="853">
        <f>0.43431418</f>
        <v>0.43431418</v>
      </c>
      <c r="F108" s="853"/>
      <c r="G108" s="853"/>
      <c r="H108" s="853"/>
      <c r="I108" s="853"/>
      <c r="J108" s="853"/>
      <c r="K108" s="853"/>
      <c r="L108" s="853"/>
      <c r="M108" s="853"/>
      <c r="N108" s="856"/>
      <c r="O108" s="856"/>
      <c r="P108" s="856"/>
      <c r="Q108" s="856"/>
      <c r="Y108" s="857"/>
      <c r="Z108" s="857"/>
      <c r="AA108" s="857"/>
      <c r="AO108" s="858"/>
      <c r="AQ108" s="858"/>
    </row>
    <row r="109" spans="4:43" s="676" customFormat="1" ht="18.75">
      <c r="D109" s="853"/>
      <c r="E109" s="853" t="b">
        <f>E108=E28</f>
        <v>1</v>
      </c>
      <c r="F109" s="853"/>
      <c r="G109" s="853"/>
      <c r="H109" s="853"/>
      <c r="I109" s="853"/>
      <c r="J109" s="853"/>
      <c r="K109" s="853"/>
      <c r="L109" s="853"/>
      <c r="M109" s="853"/>
      <c r="N109" s="856"/>
      <c r="O109" s="856"/>
      <c r="P109" s="856"/>
      <c r="Q109" s="856"/>
      <c r="Y109" s="857"/>
      <c r="Z109" s="857"/>
      <c r="AA109" s="857"/>
      <c r="AO109" s="858"/>
      <c r="AQ109" s="858"/>
    </row>
    <row r="110" spans="1:43" s="676" customFormat="1" ht="18.75">
      <c r="A110" s="867"/>
      <c r="D110" s="853"/>
      <c r="E110" s="853"/>
      <c r="F110" s="853"/>
      <c r="G110" s="853"/>
      <c r="H110" s="853"/>
      <c r="I110" s="853"/>
      <c r="J110" s="853"/>
      <c r="K110" s="853"/>
      <c r="L110" s="853"/>
      <c r="M110" s="853"/>
      <c r="N110" s="856"/>
      <c r="O110" s="856"/>
      <c r="P110" s="856"/>
      <c r="Q110" s="856"/>
      <c r="Y110" s="857"/>
      <c r="Z110" s="857"/>
      <c r="AA110" s="857"/>
      <c r="AO110" s="858"/>
      <c r="AQ110" s="858"/>
    </row>
    <row r="111" spans="1:43" s="676" customFormat="1" ht="18.75">
      <c r="A111" s="867" t="str">
        <f>A29</f>
        <v>1.3.2</v>
      </c>
      <c r="B111" s="676" t="str">
        <f>B29</f>
        <v>Снегоход Arctic Cat с.Тымлат</v>
      </c>
      <c r="D111" s="853"/>
      <c r="E111" s="872">
        <v>0.6</v>
      </c>
      <c r="F111" s="853"/>
      <c r="G111" s="853"/>
      <c r="H111" s="853"/>
      <c r="I111" s="853"/>
      <c r="J111" s="853"/>
      <c r="K111" s="853"/>
      <c r="L111" s="853"/>
      <c r="M111" s="853"/>
      <c r="N111" s="874">
        <f>0.50847458+0.09152542</f>
        <v>0.6</v>
      </c>
      <c r="O111" s="856">
        <v>0</v>
      </c>
      <c r="P111" s="874">
        <f>0.50847458*1.18</f>
        <v>0.6000000044</v>
      </c>
      <c r="Q111" s="856">
        <v>0</v>
      </c>
      <c r="Y111" s="857"/>
      <c r="Z111" s="857"/>
      <c r="AA111" s="857"/>
      <c r="AO111" s="858"/>
      <c r="AQ111" s="858"/>
    </row>
    <row r="112" spans="4:43" s="676" customFormat="1" ht="18.75">
      <c r="D112" s="853"/>
      <c r="E112" s="853" t="b">
        <f>E111=D29</f>
        <v>1</v>
      </c>
      <c r="F112" s="853"/>
      <c r="G112" s="853"/>
      <c r="H112" s="853"/>
      <c r="I112" s="853"/>
      <c r="J112" s="853"/>
      <c r="K112" s="853"/>
      <c r="L112" s="853"/>
      <c r="M112" s="853"/>
      <c r="N112" s="692">
        <f>N111-N29</f>
        <v>-4.400000030990725E-09</v>
      </c>
      <c r="O112" s="692">
        <f>O111-O29</f>
        <v>0</v>
      </c>
      <c r="P112" s="692">
        <f>P111-P29</f>
        <v>0</v>
      </c>
      <c r="Q112" s="692">
        <f>Q111-Q29</f>
        <v>0</v>
      </c>
      <c r="Y112" s="857"/>
      <c r="Z112" s="857"/>
      <c r="AA112" s="857"/>
      <c r="AO112" s="858"/>
      <c r="AQ112" s="858"/>
    </row>
    <row r="113" spans="4:43" s="676" customFormat="1" ht="18.75">
      <c r="D113" s="853"/>
      <c r="E113" s="853"/>
      <c r="F113" s="853"/>
      <c r="G113" s="853"/>
      <c r="H113" s="853"/>
      <c r="I113" s="853"/>
      <c r="J113" s="853"/>
      <c r="K113" s="853"/>
      <c r="L113" s="853"/>
      <c r="M113" s="853"/>
      <c r="N113" s="856"/>
      <c r="O113" s="856"/>
      <c r="P113" s="856"/>
      <c r="Q113" s="856"/>
      <c r="Y113" s="857"/>
      <c r="Z113" s="857"/>
      <c r="AA113" s="857"/>
      <c r="AO113" s="858"/>
      <c r="AQ113" s="858"/>
    </row>
    <row r="114" spans="4:43" s="676" customFormat="1" ht="18.75">
      <c r="D114" s="853"/>
      <c r="E114" s="853"/>
      <c r="F114" s="853"/>
      <c r="G114" s="853"/>
      <c r="H114" s="853"/>
      <c r="I114" s="853"/>
      <c r="J114" s="853"/>
      <c r="K114" s="853"/>
      <c r="L114" s="853"/>
      <c r="M114" s="853"/>
      <c r="N114" s="856"/>
      <c r="O114" s="856"/>
      <c r="P114" s="856"/>
      <c r="Q114" s="856"/>
      <c r="Y114" s="857"/>
      <c r="Z114" s="857"/>
      <c r="AA114" s="857"/>
      <c r="AO114" s="858"/>
      <c r="AQ114" s="858"/>
    </row>
    <row r="115" spans="1:43" s="676" customFormat="1" ht="18.75">
      <c r="A115" s="867" t="str">
        <f>A30</f>
        <v>1.3.3</v>
      </c>
      <c r="B115" s="676" t="str">
        <f>B30</f>
        <v>Автомобиль УАЗ-29891 с.Пахачи</v>
      </c>
      <c r="D115" s="853"/>
      <c r="E115" s="853">
        <f>0.29736447</f>
        <v>0.29736447</v>
      </c>
      <c r="F115" s="853"/>
      <c r="G115" s="853"/>
      <c r="H115" s="853"/>
      <c r="I115" s="853"/>
      <c r="J115" s="853"/>
      <c r="K115" s="853"/>
      <c r="L115" s="853"/>
      <c r="M115" s="853"/>
      <c r="N115" s="856">
        <f>0.25200376+0.04536071</f>
        <v>0.29736447</v>
      </c>
      <c r="O115" s="856">
        <f>0.06226275*1.18</f>
        <v>0.073470045</v>
      </c>
      <c r="P115" s="856">
        <v>0</v>
      </c>
      <c r="Q115" s="856">
        <v>0</v>
      </c>
      <c r="Y115" s="857"/>
      <c r="Z115" s="857"/>
      <c r="AA115" s="857"/>
      <c r="AO115" s="858"/>
      <c r="AQ115" s="858"/>
    </row>
    <row r="116" spans="4:43" s="676" customFormat="1" ht="18.75">
      <c r="D116" s="853"/>
      <c r="E116" s="853" t="b">
        <f>E115=E30</f>
        <v>1</v>
      </c>
      <c r="F116" s="853"/>
      <c r="G116" s="853"/>
      <c r="H116" s="853"/>
      <c r="I116" s="853"/>
      <c r="J116" s="853"/>
      <c r="K116" s="853"/>
      <c r="L116" s="853"/>
      <c r="M116" s="853"/>
      <c r="N116" s="870">
        <f>N115-N30</f>
        <v>3.320000002693391E-08</v>
      </c>
      <c r="O116" s="870">
        <f>O115-O30</f>
        <v>0</v>
      </c>
      <c r="P116" s="870">
        <f>P115-P30</f>
        <v>0</v>
      </c>
      <c r="Q116" s="870">
        <f>Q115-Q30</f>
        <v>0</v>
      </c>
      <c r="Y116" s="857"/>
      <c r="Z116" s="857"/>
      <c r="AA116" s="857"/>
      <c r="AO116" s="858"/>
      <c r="AQ116" s="858"/>
    </row>
    <row r="117" spans="4:43" s="676" customFormat="1" ht="18.75">
      <c r="D117" s="853"/>
      <c r="E117" s="853"/>
      <c r="F117" s="853"/>
      <c r="G117" s="853"/>
      <c r="H117" s="853"/>
      <c r="I117" s="853"/>
      <c r="J117" s="853"/>
      <c r="K117" s="853"/>
      <c r="L117" s="853"/>
      <c r="M117" s="853"/>
      <c r="N117" s="856"/>
      <c r="O117" s="856"/>
      <c r="P117" s="856"/>
      <c r="Q117" s="856"/>
      <c r="Y117" s="857"/>
      <c r="Z117" s="857"/>
      <c r="AA117" s="857"/>
      <c r="AO117" s="858"/>
      <c r="AQ117" s="858"/>
    </row>
    <row r="118" spans="1:43" s="676" customFormat="1" ht="18.75">
      <c r="A118" s="867" t="str">
        <f>A31</f>
        <v>1.3.4</v>
      </c>
      <c r="B118" s="676" t="str">
        <f>B31</f>
        <v>Автомобиль УАЗ-29891 п.Таежный</v>
      </c>
      <c r="D118" s="853"/>
      <c r="E118" s="853">
        <v>0.29736447</v>
      </c>
      <c r="F118" s="853"/>
      <c r="G118" s="853"/>
      <c r="H118" s="853"/>
      <c r="I118" s="853"/>
      <c r="J118" s="853"/>
      <c r="K118" s="853"/>
      <c r="L118" s="853"/>
      <c r="M118" s="853"/>
      <c r="N118" s="853">
        <f>0.25200376+0.04536071</f>
        <v>0.29736447</v>
      </c>
      <c r="O118" s="853">
        <f>0.06226275+0.01120731</f>
        <v>0.07347006</v>
      </c>
      <c r="P118" s="875">
        <v>0</v>
      </c>
      <c r="Q118" s="875">
        <v>0</v>
      </c>
      <c r="Y118" s="857"/>
      <c r="Z118" s="857"/>
      <c r="AA118" s="857"/>
      <c r="AO118" s="858"/>
      <c r="AQ118" s="858"/>
    </row>
    <row r="119" spans="4:43" s="676" customFormat="1" ht="18.75">
      <c r="D119" s="853"/>
      <c r="E119" s="853" t="b">
        <f>E118=E31</f>
        <v>1</v>
      </c>
      <c r="F119" s="853"/>
      <c r="G119" s="853"/>
      <c r="H119" s="853"/>
      <c r="I119" s="853"/>
      <c r="J119" s="853"/>
      <c r="K119" s="853"/>
      <c r="L119" s="853"/>
      <c r="M119" s="853"/>
      <c r="N119" s="868">
        <f>N118-N31</f>
        <v>3.320000002693391E-08</v>
      </c>
      <c r="O119" s="861">
        <f>O118-O31</f>
        <v>1.500000000598245E-08</v>
      </c>
      <c r="P119" s="853" t="b">
        <f>P118=P31</f>
        <v>1</v>
      </c>
      <c r="Q119" s="853" t="b">
        <f>Q118=Q31</f>
        <v>1</v>
      </c>
      <c r="Y119" s="857"/>
      <c r="Z119" s="857"/>
      <c r="AA119" s="857"/>
      <c r="AO119" s="858"/>
      <c r="AQ119" s="858"/>
    </row>
    <row r="120" spans="4:43" s="676" customFormat="1" ht="18.75">
      <c r="D120" s="853"/>
      <c r="E120" s="853"/>
      <c r="F120" s="853"/>
      <c r="G120" s="853"/>
      <c r="H120" s="853"/>
      <c r="I120" s="853"/>
      <c r="J120" s="853"/>
      <c r="K120" s="853"/>
      <c r="L120" s="853"/>
      <c r="M120" s="853"/>
      <c r="N120" s="856"/>
      <c r="O120" s="856"/>
      <c r="P120" s="856"/>
      <c r="Q120" s="856"/>
      <c r="Y120" s="857"/>
      <c r="Z120" s="857"/>
      <c r="AA120" s="857"/>
      <c r="AO120" s="858"/>
      <c r="AQ120" s="858"/>
    </row>
    <row r="121" spans="4:43" s="676" customFormat="1" ht="18.75">
      <c r="D121" s="853"/>
      <c r="E121" s="853"/>
      <c r="F121" s="853"/>
      <c r="G121" s="853"/>
      <c r="H121" s="853"/>
      <c r="I121" s="853"/>
      <c r="J121" s="853"/>
      <c r="K121" s="853"/>
      <c r="L121" s="853"/>
      <c r="M121" s="853"/>
      <c r="N121" s="856"/>
      <c r="O121" s="856"/>
      <c r="P121" s="856"/>
      <c r="Q121" s="856"/>
      <c r="Y121" s="857"/>
      <c r="Z121" s="857"/>
      <c r="AA121" s="857"/>
      <c r="AO121" s="858"/>
      <c r="AQ121" s="858"/>
    </row>
    <row r="122" spans="1:43" s="676" customFormat="1" ht="18.75">
      <c r="A122" s="867" t="str">
        <f>A32</f>
        <v>1.3.5</v>
      </c>
      <c r="B122" s="676" t="str">
        <f>B32</f>
        <v>Грузовой автомобиль с манипулятором FUSO Canter Аппарат управления</v>
      </c>
      <c r="D122" s="853"/>
      <c r="E122" s="876">
        <v>1.10983308</v>
      </c>
      <c r="F122" s="876"/>
      <c r="G122" s="876"/>
      <c r="H122" s="876"/>
      <c r="I122" s="876"/>
      <c r="J122" s="876"/>
      <c r="K122" s="876"/>
      <c r="L122" s="876"/>
      <c r="M122" s="876"/>
      <c r="N122" s="873">
        <f>0.94053648*1.18</f>
        <v>1.1098330464</v>
      </c>
      <c r="O122" s="873">
        <f>0.23513412*1.18</f>
        <v>0.2774582616</v>
      </c>
      <c r="P122" s="856">
        <v>0</v>
      </c>
      <c r="Q122" s="856">
        <v>0</v>
      </c>
      <c r="Y122" s="857"/>
      <c r="Z122" s="857"/>
      <c r="AA122" s="857"/>
      <c r="AO122" s="858"/>
      <c r="AQ122" s="858"/>
    </row>
    <row r="123" spans="4:43" s="676" customFormat="1" ht="18.75">
      <c r="D123" s="853"/>
      <c r="E123" s="853" t="b">
        <f>E122=E32</f>
        <v>1</v>
      </c>
      <c r="F123" s="853"/>
      <c r="G123" s="853"/>
      <c r="H123" s="853"/>
      <c r="I123" s="853"/>
      <c r="J123" s="853"/>
      <c r="K123" s="853"/>
      <c r="L123" s="853"/>
      <c r="M123" s="853"/>
      <c r="N123" s="853" t="b">
        <f>N122=N32</f>
        <v>1</v>
      </c>
      <c r="O123" s="853" t="b">
        <f>O122=O32</f>
        <v>1</v>
      </c>
      <c r="P123" s="853" t="b">
        <f>P122=P32</f>
        <v>1</v>
      </c>
      <c r="Q123" s="853" t="b">
        <f>Q122=Q32</f>
        <v>1</v>
      </c>
      <c r="Y123" s="857"/>
      <c r="Z123" s="857"/>
      <c r="AA123" s="857"/>
      <c r="AO123" s="858"/>
      <c r="AQ123" s="858"/>
    </row>
    <row r="124" spans="4:43" s="676" customFormat="1" ht="18.75">
      <c r="D124" s="853"/>
      <c r="E124" s="853"/>
      <c r="F124" s="853"/>
      <c r="G124" s="853"/>
      <c r="H124" s="853"/>
      <c r="I124" s="853"/>
      <c r="J124" s="853"/>
      <c r="K124" s="853"/>
      <c r="L124" s="853"/>
      <c r="M124" s="853"/>
      <c r="N124" s="856"/>
      <c r="O124" s="856"/>
      <c r="P124" s="856"/>
      <c r="Q124" s="856"/>
      <c r="Y124" s="857"/>
      <c r="Z124" s="857"/>
      <c r="AA124" s="857"/>
      <c r="AO124" s="858"/>
      <c r="AQ124" s="858"/>
    </row>
    <row r="125" spans="4:43" s="676" customFormat="1" ht="18.75">
      <c r="D125" s="853"/>
      <c r="E125" s="853"/>
      <c r="F125" s="853"/>
      <c r="G125" s="853"/>
      <c r="H125" s="853"/>
      <c r="I125" s="853"/>
      <c r="J125" s="853"/>
      <c r="K125" s="853"/>
      <c r="L125" s="853"/>
      <c r="M125" s="853"/>
      <c r="N125" s="856"/>
      <c r="O125" s="856"/>
      <c r="P125" s="856"/>
      <c r="Q125" s="856"/>
      <c r="Y125" s="857"/>
      <c r="Z125" s="857"/>
      <c r="AA125" s="857"/>
      <c r="AO125" s="858"/>
      <c r="AQ125" s="858"/>
    </row>
    <row r="126" spans="1:43" s="676" customFormat="1" ht="18.75">
      <c r="A126" s="867" t="str">
        <f>A33</f>
        <v>1.3.6</v>
      </c>
      <c r="B126" s="676" t="str">
        <f>B33</f>
        <v>Автокран КС-45721-17 "Челябинец" с.Усть-Хайрюзово</v>
      </c>
      <c r="D126" s="853"/>
      <c r="E126" s="853">
        <v>2.45497872</v>
      </c>
      <c r="F126" s="853"/>
      <c r="G126" s="853"/>
      <c r="H126" s="853"/>
      <c r="I126" s="853"/>
      <c r="J126" s="853"/>
      <c r="K126" s="853"/>
      <c r="L126" s="853"/>
      <c r="M126" s="853"/>
      <c r="N126" s="856">
        <f>2.0804904+0.37448832</f>
        <v>2.4549787199999997</v>
      </c>
      <c r="O126" s="856">
        <f>0.5201226*1.18</f>
        <v>0.6137446679999999</v>
      </c>
      <c r="P126" s="856">
        <v>0</v>
      </c>
      <c r="Q126" s="856">
        <v>0</v>
      </c>
      <c r="Y126" s="857"/>
      <c r="Z126" s="857"/>
      <c r="AA126" s="857"/>
      <c r="AO126" s="858"/>
      <c r="AQ126" s="858"/>
    </row>
    <row r="127" spans="5:17" ht="18.75">
      <c r="E127" s="853" t="b">
        <f>E126=E33</f>
        <v>1</v>
      </c>
      <c r="N127" s="877">
        <f>N126-N33</f>
        <v>4.799999997473492E-08</v>
      </c>
      <c r="O127" s="853" t="b">
        <f>O126=O33</f>
        <v>1</v>
      </c>
      <c r="P127" s="853" t="b">
        <f>P126=P33</f>
        <v>1</v>
      </c>
      <c r="Q127" s="853" t="b">
        <f>Q126=Q33</f>
        <v>1</v>
      </c>
    </row>
    <row r="130" spans="1:43" s="676" customFormat="1" ht="18.75">
      <c r="A130" s="867" t="str">
        <f>A34</f>
        <v>1.3.7</v>
      </c>
      <c r="B130" s="676" t="str">
        <f>B34</f>
        <v>Снегоболотоход гусенечный ГАЗ 34039-32 с.Тымлат</v>
      </c>
      <c r="D130" s="853"/>
      <c r="E130" s="853">
        <v>1.0990818</v>
      </c>
      <c r="F130" s="853"/>
      <c r="G130" s="853"/>
      <c r="H130" s="853"/>
      <c r="I130" s="853"/>
      <c r="J130" s="853"/>
      <c r="K130" s="853"/>
      <c r="L130" s="853"/>
      <c r="M130" s="853"/>
      <c r="N130" s="856">
        <f>0.93142524+0.16765656</f>
        <v>1.0990818</v>
      </c>
      <c r="O130" s="856">
        <f>0.23285631*1.18</f>
        <v>0.2747704458</v>
      </c>
      <c r="P130" s="856">
        <v>0</v>
      </c>
      <c r="Q130" s="856">
        <v>0</v>
      </c>
      <c r="Y130" s="857"/>
      <c r="Z130" s="857"/>
      <c r="AA130" s="857"/>
      <c r="AO130" s="858"/>
      <c r="AQ130" s="858"/>
    </row>
    <row r="131" spans="4:43" s="676" customFormat="1" ht="18.75">
      <c r="D131" s="853"/>
      <c r="E131" s="853" t="b">
        <f>E130=E34</f>
        <v>1</v>
      </c>
      <c r="F131" s="853"/>
      <c r="G131" s="853"/>
      <c r="H131" s="853"/>
      <c r="I131" s="853"/>
      <c r="J131" s="853"/>
      <c r="K131" s="853"/>
      <c r="L131" s="853"/>
      <c r="M131" s="853"/>
      <c r="N131" s="878">
        <f>N130-N34</f>
        <v>1.6800000057770603E-08</v>
      </c>
      <c r="O131" s="877">
        <f>O130-O34</f>
        <v>0</v>
      </c>
      <c r="P131" s="853" t="b">
        <f>P130=P34</f>
        <v>1</v>
      </c>
      <c r="Q131" s="853" t="b">
        <f>Q130=Q34</f>
        <v>1</v>
      </c>
      <c r="Y131" s="857"/>
      <c r="Z131" s="857"/>
      <c r="AA131" s="857"/>
      <c r="AO131" s="858"/>
      <c r="AQ131" s="858"/>
    </row>
    <row r="132" spans="4:43" s="676" customFormat="1" ht="18.75">
      <c r="D132" s="853"/>
      <c r="E132" s="853"/>
      <c r="F132" s="853"/>
      <c r="G132" s="853"/>
      <c r="H132" s="853"/>
      <c r="I132" s="853"/>
      <c r="J132" s="853"/>
      <c r="K132" s="853"/>
      <c r="L132" s="853"/>
      <c r="M132" s="853"/>
      <c r="N132" s="856"/>
      <c r="O132" s="856"/>
      <c r="P132" s="856"/>
      <c r="Q132" s="856"/>
      <c r="Y132" s="857"/>
      <c r="Z132" s="857"/>
      <c r="AA132" s="857"/>
      <c r="AO132" s="858"/>
      <c r="AQ132" s="858"/>
    </row>
    <row r="133" spans="4:43" s="676" customFormat="1" ht="18.75">
      <c r="D133" s="853"/>
      <c r="E133" s="853"/>
      <c r="F133" s="853"/>
      <c r="G133" s="853"/>
      <c r="H133" s="853"/>
      <c r="I133" s="853"/>
      <c r="J133" s="853"/>
      <c r="K133" s="853"/>
      <c r="L133" s="853"/>
      <c r="M133" s="853"/>
      <c r="N133" s="856"/>
      <c r="O133" s="856"/>
      <c r="P133" s="856"/>
      <c r="Q133" s="856"/>
      <c r="Y133" s="857"/>
      <c r="Z133" s="857"/>
      <c r="AA133" s="857"/>
      <c r="AO133" s="858"/>
      <c r="AQ133" s="858"/>
    </row>
    <row r="134" spans="1:43" s="676" customFormat="1" ht="18.75">
      <c r="A134" s="867" t="str">
        <f>A37</f>
        <v>2.1.1</v>
      </c>
      <c r="B134" s="867" t="str">
        <f>B37</f>
        <v>Реконструкция электроснабжения с. Пахачи (Строительство ДЭС в п. Пахачи)</v>
      </c>
      <c r="D134" s="853"/>
      <c r="E134" s="853">
        <f>51.57307415-0.60962*1.18</f>
        <v>50.85372254999999</v>
      </c>
      <c r="F134" s="853"/>
      <c r="G134" s="853"/>
      <c r="H134" s="853"/>
      <c r="I134" s="853"/>
      <c r="J134" s="853"/>
      <c r="K134" s="853"/>
      <c r="L134" s="853"/>
      <c r="M134" s="853"/>
      <c r="N134" s="856">
        <f>11.19730578*1.18+19.264252*1.18</f>
        <v>35.9446381804</v>
      </c>
      <c r="O134" s="856">
        <v>0</v>
      </c>
      <c r="P134" s="856">
        <v>0</v>
      </c>
      <c r="Q134" s="856">
        <v>0</v>
      </c>
      <c r="Y134" s="857"/>
      <c r="Z134" s="857"/>
      <c r="AA134" s="857"/>
      <c r="AO134" s="858"/>
      <c r="AQ134" s="858"/>
    </row>
    <row r="135" spans="4:43" s="676" customFormat="1" ht="18.75">
      <c r="D135" s="853"/>
      <c r="E135" s="863" t="b">
        <f>E37=E134</f>
        <v>1</v>
      </c>
      <c r="F135" s="853"/>
      <c r="G135" s="853"/>
      <c r="H135" s="853"/>
      <c r="I135" s="853"/>
      <c r="J135" s="853"/>
      <c r="K135" s="853"/>
      <c r="L135" s="853"/>
      <c r="M135" s="853"/>
      <c r="N135" s="863" t="b">
        <f>N37=N134</f>
        <v>1</v>
      </c>
      <c r="O135" s="863" t="b">
        <f>O37=O134</f>
        <v>1</v>
      </c>
      <c r="P135" s="863" t="b">
        <f>P37=P134</f>
        <v>1</v>
      </c>
      <c r="Q135" s="863" t="b">
        <f>Q37=Q134</f>
        <v>1</v>
      </c>
      <c r="Y135" s="857"/>
      <c r="Z135" s="857"/>
      <c r="AA135" s="857"/>
      <c r="AO135" s="858"/>
      <c r="AQ135" s="858"/>
    </row>
    <row r="136" spans="4:43" s="676" customFormat="1" ht="18.75">
      <c r="D136" s="853"/>
      <c r="E136" s="853">
        <f>80.12954207-0.60962*1.18+0.09113331+0.0607557+1.499898</f>
        <v>81.06197748000001</v>
      </c>
      <c r="F136" s="853"/>
      <c r="G136" s="853"/>
      <c r="H136" s="853"/>
      <c r="I136" s="853"/>
      <c r="J136" s="853"/>
      <c r="K136" s="853"/>
      <c r="L136" s="853"/>
      <c r="M136" s="853"/>
      <c r="N136" s="856">
        <f>(5.59448+10.17177+3.498002+24.97565798)*1.18+0.15188901</f>
        <v>52.354982786399994</v>
      </c>
      <c r="O136" s="856"/>
      <c r="P136" s="869">
        <v>0</v>
      </c>
      <c r="Q136" s="856"/>
      <c r="Y136" s="857"/>
      <c r="Z136" s="857"/>
      <c r="AA136" s="857"/>
      <c r="AO136" s="858"/>
      <c r="AQ136" s="858"/>
    </row>
    <row r="137" spans="4:43" s="676" customFormat="1" ht="18.75">
      <c r="D137" s="853"/>
      <c r="E137" s="863" t="b">
        <v>1</v>
      </c>
      <c r="F137" s="853"/>
      <c r="G137" s="853"/>
      <c r="H137" s="853"/>
      <c r="I137" s="853"/>
      <c r="J137" s="853"/>
      <c r="K137" s="853"/>
      <c r="L137" s="853"/>
      <c r="M137" s="853"/>
      <c r="N137" s="869">
        <v>-2.3599999821044548E-07</v>
      </c>
      <c r="O137" s="856"/>
      <c r="P137" s="869">
        <v>0</v>
      </c>
      <c r="Q137" s="856"/>
      <c r="Y137" s="857"/>
      <c r="Z137" s="857"/>
      <c r="AA137" s="857"/>
      <c r="AO137" s="858"/>
      <c r="AQ137" s="858"/>
    </row>
    <row r="138" spans="4:43" s="676" customFormat="1" ht="18.75">
      <c r="D138" s="853"/>
      <c r="E138" s="853"/>
      <c r="F138" s="853"/>
      <c r="G138" s="853"/>
      <c r="H138" s="853"/>
      <c r="I138" s="853"/>
      <c r="J138" s="853"/>
      <c r="K138" s="853"/>
      <c r="L138" s="853"/>
      <c r="M138" s="853"/>
      <c r="N138" s="856"/>
      <c r="O138" s="856"/>
      <c r="P138" s="856"/>
      <c r="Q138" s="856"/>
      <c r="Y138" s="857"/>
      <c r="Z138" s="857"/>
      <c r="AA138" s="857"/>
      <c r="AO138" s="858"/>
      <c r="AQ138" s="858"/>
    </row>
    <row r="139" spans="4:43" s="676" customFormat="1" ht="18.75">
      <c r="D139" s="853"/>
      <c r="E139" s="863"/>
      <c r="F139" s="853"/>
      <c r="G139" s="853"/>
      <c r="H139" s="853"/>
      <c r="I139" s="853"/>
      <c r="J139" s="853"/>
      <c r="K139" s="853"/>
      <c r="L139" s="853"/>
      <c r="M139" s="853"/>
      <c r="N139" s="856"/>
      <c r="O139" s="856"/>
      <c r="P139" s="856"/>
      <c r="Q139" s="856"/>
      <c r="Y139" s="857"/>
      <c r="Z139" s="857"/>
      <c r="AA139" s="857"/>
      <c r="AO139" s="858"/>
      <c r="AQ139" s="858"/>
    </row>
    <row r="140" spans="1:43" s="676" customFormat="1" ht="18.75">
      <c r="A140" s="867" t="str">
        <f>A39</f>
        <v>2.2.1</v>
      </c>
      <c r="B140" s="676" t="str">
        <f>B39</f>
        <v>Строительство склада ГСМ в с. Вывенка</v>
      </c>
      <c r="D140" s="853"/>
      <c r="E140" s="875">
        <v>0</v>
      </c>
      <c r="F140" s="853"/>
      <c r="G140" s="853"/>
      <c r="H140" s="853"/>
      <c r="I140" s="853"/>
      <c r="J140" s="853"/>
      <c r="K140" s="853"/>
      <c r="L140" s="853"/>
      <c r="M140" s="853"/>
      <c r="N140" s="856">
        <v>0</v>
      </c>
      <c r="O140" s="856">
        <v>0</v>
      </c>
      <c r="P140" s="856">
        <v>0</v>
      </c>
      <c r="Q140" s="856">
        <v>0</v>
      </c>
      <c r="Y140" s="857"/>
      <c r="Z140" s="857"/>
      <c r="AA140" s="857"/>
      <c r="AO140" s="858"/>
      <c r="AQ140" s="858"/>
    </row>
    <row r="141" spans="4:43" s="676" customFormat="1" ht="18.75">
      <c r="D141" s="853"/>
      <c r="E141" s="853" t="b">
        <f>E140=E39</f>
        <v>1</v>
      </c>
      <c r="F141" s="853"/>
      <c r="G141" s="853"/>
      <c r="H141" s="853"/>
      <c r="I141" s="853"/>
      <c r="J141" s="853"/>
      <c r="K141" s="853"/>
      <c r="L141" s="853"/>
      <c r="M141" s="853"/>
      <c r="N141" s="853" t="b">
        <f>N140=N39</f>
        <v>1</v>
      </c>
      <c r="O141" s="853" t="b">
        <f>O140=O39</f>
        <v>1</v>
      </c>
      <c r="P141" s="853" t="b">
        <f>P140=P39</f>
        <v>1</v>
      </c>
      <c r="Q141" s="853" t="b">
        <f>Q140=Q39</f>
        <v>1</v>
      </c>
      <c r="Y141" s="857"/>
      <c r="Z141" s="857"/>
      <c r="AA141" s="857"/>
      <c r="AO141" s="858"/>
      <c r="AQ141" s="858"/>
    </row>
    <row r="142" spans="4:43" s="676" customFormat="1" ht="18.75">
      <c r="D142" s="853"/>
      <c r="E142" s="853">
        <f>1.495628+0.18</f>
        <v>1.675628</v>
      </c>
      <c r="F142" s="853"/>
      <c r="G142" s="853"/>
      <c r="H142" s="853"/>
      <c r="I142" s="853"/>
      <c r="J142" s="853"/>
      <c r="K142" s="853"/>
      <c r="L142" s="853"/>
      <c r="M142" s="853"/>
      <c r="N142" s="856">
        <f>0.18+4.97814188</f>
        <v>5.15814188</v>
      </c>
      <c r="O142" s="856"/>
      <c r="P142" s="856">
        <v>0</v>
      </c>
      <c r="Q142" s="856"/>
      <c r="Y142" s="857"/>
      <c r="Z142" s="857"/>
      <c r="AA142" s="857"/>
      <c r="AO142" s="858"/>
      <c r="AQ142" s="858"/>
    </row>
    <row r="143" spans="4:43" s="676" customFormat="1" ht="18.75">
      <c r="D143" s="853"/>
      <c r="E143" s="863" t="b">
        <v>1</v>
      </c>
      <c r="F143" s="853"/>
      <c r="G143" s="853"/>
      <c r="H143" s="853"/>
      <c r="I143" s="853"/>
      <c r="J143" s="853"/>
      <c r="K143" s="853"/>
      <c r="L143" s="853"/>
      <c r="M143" s="853"/>
      <c r="N143" s="863" t="b">
        <v>1</v>
      </c>
      <c r="O143" s="863"/>
      <c r="P143" s="863" t="b">
        <v>1</v>
      </c>
      <c r="Q143" s="863"/>
      <c r="Y143" s="857"/>
      <c r="Z143" s="857"/>
      <c r="AA143" s="857"/>
      <c r="AO143" s="858"/>
      <c r="AQ143" s="858"/>
    </row>
    <row r="144" spans="4:43" s="676" customFormat="1" ht="18.75">
      <c r="D144" s="853"/>
      <c r="E144" s="853"/>
      <c r="F144" s="853"/>
      <c r="G144" s="853"/>
      <c r="H144" s="853"/>
      <c r="I144" s="853"/>
      <c r="J144" s="853"/>
      <c r="K144" s="853"/>
      <c r="L144" s="853"/>
      <c r="M144" s="853"/>
      <c r="N144" s="856"/>
      <c r="O144" s="856"/>
      <c r="P144" s="856"/>
      <c r="Q144" s="856"/>
      <c r="Y144" s="857"/>
      <c r="Z144" s="857"/>
      <c r="AA144" s="857"/>
      <c r="AO144" s="858"/>
      <c r="AQ144" s="858"/>
    </row>
    <row r="145" spans="4:43" s="676" customFormat="1" ht="18.75">
      <c r="D145" s="853"/>
      <c r="E145" s="853"/>
      <c r="F145" s="853"/>
      <c r="G145" s="853"/>
      <c r="H145" s="853"/>
      <c r="I145" s="853"/>
      <c r="J145" s="853"/>
      <c r="K145" s="853"/>
      <c r="L145" s="853"/>
      <c r="M145" s="853"/>
      <c r="N145" s="856"/>
      <c r="O145" s="856"/>
      <c r="P145" s="856"/>
      <c r="Q145" s="856"/>
      <c r="Y145" s="857"/>
      <c r="Z145" s="857"/>
      <c r="AA145" s="857"/>
      <c r="AO145" s="858"/>
      <c r="AQ145" s="858"/>
    </row>
    <row r="146" spans="1:43" s="676" customFormat="1" ht="32.25">
      <c r="A146" s="867" t="str">
        <f>A40</f>
        <v>2.2.2</v>
      </c>
      <c r="B146" s="879" t="str">
        <f>B40</f>
        <v>Строительство склада ГСМ в с. Тиличики 2000м3 (одна емкость 2000м3) с трубопроводом и насосной станцией</v>
      </c>
      <c r="D146" s="853"/>
      <c r="E146" s="853">
        <v>2.13086</v>
      </c>
      <c r="F146" s="853"/>
      <c r="G146" s="853"/>
      <c r="H146" s="853"/>
      <c r="I146" s="853"/>
      <c r="J146" s="853"/>
      <c r="K146" s="853"/>
      <c r="L146" s="853"/>
      <c r="M146" s="853"/>
      <c r="N146" s="856">
        <v>3.63086</v>
      </c>
      <c r="O146" s="856">
        <v>0.14086</v>
      </c>
      <c r="P146" s="856">
        <v>0</v>
      </c>
      <c r="Q146" s="856">
        <v>0</v>
      </c>
      <c r="Y146" s="857"/>
      <c r="Z146" s="857"/>
      <c r="AA146" s="857"/>
      <c r="AO146" s="858"/>
      <c r="AQ146" s="858"/>
    </row>
    <row r="147" spans="4:43" s="676" customFormat="1" ht="18.75">
      <c r="D147" s="853"/>
      <c r="E147" s="853" t="b">
        <f>E146=E40</f>
        <v>1</v>
      </c>
      <c r="F147" s="853"/>
      <c r="G147" s="853"/>
      <c r="H147" s="853"/>
      <c r="I147" s="853"/>
      <c r="J147" s="853"/>
      <c r="K147" s="853"/>
      <c r="L147" s="853"/>
      <c r="M147" s="853"/>
      <c r="N147" s="856" t="b">
        <f>N146=N40</f>
        <v>1</v>
      </c>
      <c r="O147" s="856" t="b">
        <f>O146=O40</f>
        <v>1</v>
      </c>
      <c r="P147" s="856" t="b">
        <f>P146=P40</f>
        <v>1</v>
      </c>
      <c r="Q147" s="856" t="b">
        <f>Q146=Q40</f>
        <v>1</v>
      </c>
      <c r="Y147" s="857"/>
      <c r="Z147" s="857"/>
      <c r="AA147" s="857"/>
      <c r="AO147" s="858"/>
      <c r="AQ147" s="858"/>
    </row>
    <row r="148" spans="4:43" s="676" customFormat="1" ht="18.75">
      <c r="D148" s="853"/>
      <c r="E148" s="853">
        <f>2.63086</f>
        <v>2.63086</v>
      </c>
      <c r="F148" s="853"/>
      <c r="G148" s="853"/>
      <c r="H148" s="853"/>
      <c r="I148" s="853"/>
      <c r="J148" s="853"/>
      <c r="K148" s="853"/>
      <c r="L148" s="853"/>
      <c r="M148" s="853"/>
      <c r="N148" s="856">
        <f>3.63086</f>
        <v>3.63086</v>
      </c>
      <c r="O148" s="856"/>
      <c r="P148" s="856">
        <v>0</v>
      </c>
      <c r="Q148" s="856"/>
      <c r="Y148" s="857"/>
      <c r="Z148" s="857"/>
      <c r="AA148" s="857"/>
      <c r="AO148" s="858"/>
      <c r="AQ148" s="858"/>
    </row>
    <row r="149" spans="4:43" s="676" customFormat="1" ht="18.75">
      <c r="D149" s="853"/>
      <c r="E149" s="863" t="b">
        <v>1</v>
      </c>
      <c r="F149" s="853"/>
      <c r="G149" s="853"/>
      <c r="H149" s="853"/>
      <c r="I149" s="853"/>
      <c r="J149" s="853"/>
      <c r="K149" s="853"/>
      <c r="L149" s="853"/>
      <c r="M149" s="853"/>
      <c r="N149" s="860">
        <v>0</v>
      </c>
      <c r="O149" s="856"/>
      <c r="P149" s="855" t="b">
        <v>1</v>
      </c>
      <c r="Q149" s="856"/>
      <c r="Y149" s="857"/>
      <c r="Z149" s="857"/>
      <c r="AA149" s="857"/>
      <c r="AO149" s="858"/>
      <c r="AQ149" s="858"/>
    </row>
    <row r="150" spans="4:43" s="676" customFormat="1" ht="18.75">
      <c r="D150" s="853"/>
      <c r="E150" s="853"/>
      <c r="F150" s="853"/>
      <c r="G150" s="853"/>
      <c r="H150" s="853"/>
      <c r="I150" s="853"/>
      <c r="J150" s="853"/>
      <c r="K150" s="853"/>
      <c r="L150" s="853"/>
      <c r="M150" s="853"/>
      <c r="N150" s="856"/>
      <c r="O150" s="856"/>
      <c r="P150" s="856"/>
      <c r="Q150" s="856"/>
      <c r="Y150" s="857"/>
      <c r="Z150" s="857"/>
      <c r="AA150" s="857"/>
      <c r="AO150" s="858"/>
      <c r="AQ150" s="858"/>
    </row>
    <row r="151" spans="1:43" s="676" customFormat="1" ht="32.25">
      <c r="A151" s="867" t="str">
        <f>A41</f>
        <v>2.2.3</v>
      </c>
      <c r="B151" s="879" t="str">
        <f>B41</f>
        <v>Строительство склада ГСМ в с.Средние Пахачи 500 м3 (две емкости 200м3 и 300м3)</v>
      </c>
      <c r="D151" s="853"/>
      <c r="E151" s="880">
        <v>0</v>
      </c>
      <c r="F151" s="853"/>
      <c r="G151" s="853"/>
      <c r="H151" s="853"/>
      <c r="I151" s="853"/>
      <c r="J151" s="853"/>
      <c r="K151" s="853"/>
      <c r="L151" s="853"/>
      <c r="M151" s="853"/>
      <c r="N151" s="856">
        <f>2.89748252</f>
        <v>2.89748252</v>
      </c>
      <c r="O151" s="856">
        <v>2.89748252</v>
      </c>
      <c r="P151" s="856">
        <v>0</v>
      </c>
      <c r="Q151" s="856">
        <v>0</v>
      </c>
      <c r="Y151" s="857"/>
      <c r="Z151" s="857"/>
      <c r="AA151" s="857"/>
      <c r="AO151" s="858"/>
      <c r="AQ151" s="858"/>
    </row>
    <row r="152" spans="4:43" s="676" customFormat="1" ht="18.75">
      <c r="D152" s="853"/>
      <c r="E152" s="853" t="b">
        <f>E151=E41</f>
        <v>1</v>
      </c>
      <c r="F152" s="853"/>
      <c r="G152" s="853"/>
      <c r="H152" s="853"/>
      <c r="I152" s="853"/>
      <c r="J152" s="853"/>
      <c r="K152" s="853"/>
      <c r="L152" s="853"/>
      <c r="M152" s="853"/>
      <c r="N152" s="856" t="b">
        <f>N151=N41</f>
        <v>1</v>
      </c>
      <c r="O152" s="856" t="b">
        <f>O151=O41</f>
        <v>1</v>
      </c>
      <c r="P152" s="856" t="b">
        <f>P151=P41</f>
        <v>1</v>
      </c>
      <c r="Q152" s="856" t="b">
        <f>Q151=Q41</f>
        <v>1</v>
      </c>
      <c r="Y152" s="857"/>
      <c r="Z152" s="857"/>
      <c r="AA152" s="857"/>
      <c r="AO152" s="858"/>
      <c r="AQ152" s="858"/>
    </row>
    <row r="153" spans="4:43" s="676" customFormat="1" ht="18.75">
      <c r="D153" s="853"/>
      <c r="E153" s="853"/>
      <c r="F153" s="853"/>
      <c r="G153" s="853"/>
      <c r="H153" s="853"/>
      <c r="I153" s="853"/>
      <c r="J153" s="853"/>
      <c r="K153" s="853"/>
      <c r="L153" s="853"/>
      <c r="M153" s="853"/>
      <c r="N153" s="856"/>
      <c r="O153" s="856"/>
      <c r="P153" s="856"/>
      <c r="Q153" s="856"/>
      <c r="Y153" s="857"/>
      <c r="Z153" s="857"/>
      <c r="AA153" s="857"/>
      <c r="AO153" s="858"/>
      <c r="AQ153" s="858"/>
    </row>
    <row r="155" spans="1:43" s="676" customFormat="1" ht="18.75">
      <c r="A155" s="867" t="str">
        <f>A42</f>
        <v>2.2.4</v>
      </c>
      <c r="B155" s="676" t="str">
        <f>B42</f>
        <v>Строительство склада ГСМ в с. Ковран****</v>
      </c>
      <c r="D155" s="853"/>
      <c r="E155" s="875">
        <f>0.38</f>
        <v>0.38</v>
      </c>
      <c r="F155" s="853"/>
      <c r="G155" s="853"/>
      <c r="H155" s="853"/>
      <c r="I155" s="853"/>
      <c r="J155" s="853"/>
      <c r="K155" s="853"/>
      <c r="L155" s="853"/>
      <c r="M155" s="853"/>
      <c r="N155" s="856">
        <v>0</v>
      </c>
      <c r="O155" s="856">
        <v>0</v>
      </c>
      <c r="P155" s="856">
        <v>0</v>
      </c>
      <c r="Q155" s="856">
        <v>0</v>
      </c>
      <c r="Y155" s="857"/>
      <c r="Z155" s="857"/>
      <c r="AA155" s="857"/>
      <c r="AO155" s="858"/>
      <c r="AQ155" s="858"/>
    </row>
    <row r="156" spans="4:43" s="676" customFormat="1" ht="18.75">
      <c r="D156" s="853"/>
      <c r="E156" s="853" t="b">
        <f>E155=E42</f>
        <v>1</v>
      </c>
      <c r="F156" s="853"/>
      <c r="G156" s="853"/>
      <c r="H156" s="853"/>
      <c r="I156" s="853"/>
      <c r="J156" s="853"/>
      <c r="K156" s="853"/>
      <c r="L156" s="853"/>
      <c r="M156" s="853"/>
      <c r="N156" s="853" t="b">
        <f>N155=N42</f>
        <v>1</v>
      </c>
      <c r="O156" s="853" t="b">
        <f>O155=O42</f>
        <v>1</v>
      </c>
      <c r="P156" s="853" t="b">
        <f>P155=P42</f>
        <v>1</v>
      </c>
      <c r="Q156" s="853" t="b">
        <f>Q155=Q42</f>
        <v>1</v>
      </c>
      <c r="Y156" s="857"/>
      <c r="Z156" s="857"/>
      <c r="AA156" s="857"/>
      <c r="AO156" s="858"/>
      <c r="AQ156" s="858"/>
    </row>
    <row r="157" spans="4:43" s="676" customFormat="1" ht="18.75">
      <c r="D157" s="853"/>
      <c r="E157" s="853">
        <f>0.38+4.327093</f>
        <v>4.7070929999999995</v>
      </c>
      <c r="F157" s="853"/>
      <c r="G157" s="853"/>
      <c r="H157" s="853"/>
      <c r="I157" s="853"/>
      <c r="J157" s="853"/>
      <c r="K157" s="853"/>
      <c r="L157" s="853"/>
      <c r="M157" s="853"/>
      <c r="N157" s="856">
        <f>0.38+4.327093</f>
        <v>4.7070929999999995</v>
      </c>
      <c r="O157" s="856"/>
      <c r="P157" s="856">
        <f>1.44236433*3</f>
        <v>4.32709299</v>
      </c>
      <c r="Q157" s="856"/>
      <c r="Y157" s="857"/>
      <c r="Z157" s="857"/>
      <c r="AA157" s="857"/>
      <c r="AO157" s="858"/>
      <c r="AQ157" s="858"/>
    </row>
    <row r="158" spans="4:43" s="676" customFormat="1" ht="18.75">
      <c r="D158" s="853"/>
      <c r="E158" s="863" t="b">
        <v>1</v>
      </c>
      <c r="F158" s="853"/>
      <c r="G158" s="853"/>
      <c r="H158" s="853"/>
      <c r="I158" s="853"/>
      <c r="J158" s="853"/>
      <c r="K158" s="853"/>
      <c r="L158" s="853"/>
      <c r="M158" s="853"/>
      <c r="N158" s="855" t="b">
        <v>1</v>
      </c>
      <c r="O158" s="856"/>
      <c r="P158" s="869">
        <v>9.99999993922529E-09</v>
      </c>
      <c r="Q158" s="856"/>
      <c r="Y158" s="857"/>
      <c r="Z158" s="857"/>
      <c r="AA158" s="857"/>
      <c r="AO158" s="858"/>
      <c r="AQ158" s="858"/>
    </row>
    <row r="159" spans="4:43" s="676" customFormat="1" ht="18.75">
      <c r="D159" s="853"/>
      <c r="E159" s="853"/>
      <c r="F159" s="853"/>
      <c r="G159" s="853"/>
      <c r="H159" s="853"/>
      <c r="I159" s="853"/>
      <c r="J159" s="853"/>
      <c r="K159" s="853"/>
      <c r="L159" s="853"/>
      <c r="M159" s="853"/>
      <c r="N159" s="856"/>
      <c r="O159" s="856"/>
      <c r="P159" s="856"/>
      <c r="Q159" s="856"/>
      <c r="Y159" s="857"/>
      <c r="Z159" s="857"/>
      <c r="AA159" s="857"/>
      <c r="AO159" s="858"/>
      <c r="AQ159" s="858"/>
    </row>
    <row r="160" spans="2:43" s="881" customFormat="1" ht="18.75">
      <c r="B160" s="881" t="s">
        <v>123</v>
      </c>
      <c r="D160" s="705"/>
      <c r="E160" s="882">
        <f>E79+E84+E89+E92+E97+E102+E106+E111+E115+E118+E122+E126+E130+E134+E140+E146+E151+E155</f>
        <v>131.40054348700002</v>
      </c>
      <c r="F160" s="705"/>
      <c r="G160" s="705"/>
      <c r="H160" s="705"/>
      <c r="I160" s="705"/>
      <c r="J160" s="705"/>
      <c r="K160" s="705"/>
      <c r="L160" s="705"/>
      <c r="M160" s="882"/>
      <c r="N160" s="882">
        <f>N79+N84+N89+N92+N97+N102+N106+N111+N115+N118+N122+N126+N130+N134+N140+N146+N151+N155</f>
        <v>89.78050469759998</v>
      </c>
      <c r="O160" s="882"/>
      <c r="P160" s="882">
        <f>P79+P84+P89+P92+P97+P102+P106+P111+P115+P118+P122+P126+P130+P134+P140+P146+P151+P155</f>
        <v>94.79965974839999</v>
      </c>
      <c r="Q160" s="883"/>
      <c r="Y160" s="884"/>
      <c r="Z160" s="884"/>
      <c r="AA160" s="884"/>
      <c r="AO160" s="885"/>
      <c r="AQ160" s="885"/>
    </row>
    <row r="161" spans="4:43" s="881" customFormat="1" ht="18.75">
      <c r="D161" s="705"/>
      <c r="E161" s="886">
        <f>E160-E17</f>
        <v>0</v>
      </c>
      <c r="F161" s="705"/>
      <c r="G161" s="705"/>
      <c r="H161" s="705"/>
      <c r="I161" s="705"/>
      <c r="J161" s="705"/>
      <c r="K161" s="705"/>
      <c r="L161" s="705"/>
      <c r="M161" s="882"/>
      <c r="N161" s="887">
        <f>N160-N17</f>
        <v>9.379996868119633E-08</v>
      </c>
      <c r="O161" s="887"/>
      <c r="P161" s="887">
        <f>P160-P17</f>
        <v>0</v>
      </c>
      <c r="Q161" s="883"/>
      <c r="Y161" s="884"/>
      <c r="Z161" s="884"/>
      <c r="AA161" s="884"/>
      <c r="AO161" s="885"/>
      <c r="AQ161" s="885"/>
    </row>
    <row r="162" spans="4:43" s="676" customFormat="1" ht="18.75">
      <c r="D162" s="853"/>
      <c r="E162" s="853"/>
      <c r="F162" s="853"/>
      <c r="G162" s="853"/>
      <c r="H162" s="853"/>
      <c r="I162" s="853"/>
      <c r="J162" s="853"/>
      <c r="K162" s="853"/>
      <c r="L162" s="853"/>
      <c r="M162" s="853"/>
      <c r="N162" s="856"/>
      <c r="O162" s="856"/>
      <c r="P162" s="856"/>
      <c r="Q162" s="856"/>
      <c r="Y162" s="857"/>
      <c r="Z162" s="857"/>
      <c r="AA162" s="857"/>
      <c r="AO162" s="858"/>
      <c r="AQ162" s="858"/>
    </row>
    <row r="163" spans="4:43" s="676" customFormat="1" ht="18.75">
      <c r="D163" s="853"/>
      <c r="E163" s="853"/>
      <c r="F163" s="853"/>
      <c r="G163" s="853"/>
      <c r="H163" s="853"/>
      <c r="I163" s="853"/>
      <c r="J163" s="853"/>
      <c r="K163" s="853"/>
      <c r="L163" s="853"/>
      <c r="M163" s="853"/>
      <c r="N163" s="856"/>
      <c r="O163" s="856"/>
      <c r="P163" s="856"/>
      <c r="Q163" s="856"/>
      <c r="Y163" s="857"/>
      <c r="Z163" s="857"/>
      <c r="AA163" s="857"/>
      <c r="AO163" s="858"/>
      <c r="AQ163" s="858"/>
    </row>
    <row r="164" spans="4:43" s="676" customFormat="1" ht="18.75">
      <c r="D164" s="853"/>
      <c r="E164" s="853"/>
      <c r="F164" s="853"/>
      <c r="G164" s="853"/>
      <c r="H164" s="853"/>
      <c r="I164" s="853"/>
      <c r="J164" s="853"/>
      <c r="K164" s="853"/>
      <c r="L164" s="853"/>
      <c r="M164" s="853"/>
      <c r="N164" s="856"/>
      <c r="O164" s="856"/>
      <c r="P164" s="856"/>
      <c r="Q164" s="856"/>
      <c r="Y164" s="857"/>
      <c r="Z164" s="857"/>
      <c r="AA164" s="857"/>
      <c r="AO164" s="858"/>
      <c r="AQ164" s="858"/>
    </row>
  </sheetData>
  <sheetProtection/>
  <mergeCells count="24">
    <mergeCell ref="A11:W11"/>
    <mergeCell ref="A14:A16"/>
    <mergeCell ref="B14:B16"/>
    <mergeCell ref="C14:C16"/>
    <mergeCell ref="D14:M14"/>
    <mergeCell ref="U15:V15"/>
    <mergeCell ref="R14:R16"/>
    <mergeCell ref="L15:M15"/>
    <mergeCell ref="AI16:AK16"/>
    <mergeCell ref="Y16:AA16"/>
    <mergeCell ref="B12:W12"/>
    <mergeCell ref="T15:T16"/>
    <mergeCell ref="N14:O15"/>
    <mergeCell ref="S14:V14"/>
    <mergeCell ref="B58:H58"/>
    <mergeCell ref="D15:E15"/>
    <mergeCell ref="F15:G15"/>
    <mergeCell ref="W14:W16"/>
    <mergeCell ref="S15:S16"/>
    <mergeCell ref="P14:Q15"/>
    <mergeCell ref="H15:I15"/>
    <mergeCell ref="J15:K15"/>
    <mergeCell ref="A50:B50"/>
    <mergeCell ref="B55:K55"/>
  </mergeCells>
  <printOptions/>
  <pageMargins left="0.1968503937007874" right="0.1968503937007874" top="0.3937007874015748" bottom="0.5905511811023623" header="0.31496062992125984" footer="0.1968503937007874"/>
  <pageSetup fitToHeight="2" horizontalDpi="600" verticalDpi="600" orientation="landscape" paperSize="9" scale="42" r:id="rId3"/>
  <rowBreaks count="1" manualBreakCount="1">
    <brk id="40" max="22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J97"/>
  <sheetViews>
    <sheetView view="pageBreakPreview" zoomScale="60" zoomScaleNormal="70" zoomScalePageLayoutView="0" workbookViewId="0" topLeftCell="A19">
      <pane xSplit="2" topLeftCell="C1" activePane="topRight" state="frozen"/>
      <selection pane="topLeft" activeCell="AL5" sqref="AL5"/>
      <selection pane="topRight" activeCell="N68" sqref="N68"/>
    </sheetView>
  </sheetViews>
  <sheetFormatPr defaultColWidth="9.00390625" defaultRowHeight="15.75" outlineLevelRow="1"/>
  <cols>
    <col min="1" max="1" width="11.50390625" style="1" bestFit="1" customWidth="1"/>
    <col min="2" max="2" width="55.375" style="1" customWidth="1"/>
    <col min="3" max="3" width="9.50390625" style="129" customWidth="1"/>
    <col min="4" max="4" width="9.125" style="129" customWidth="1"/>
    <col min="5" max="5" width="8.75390625" style="378" customWidth="1"/>
    <col min="6" max="6" width="10.50390625" style="378" customWidth="1"/>
    <col min="7" max="7" width="7.50390625" style="378" customWidth="1"/>
    <col min="8" max="10" width="8.75390625" style="129" customWidth="1"/>
    <col min="11" max="11" width="11.625" style="129" customWidth="1"/>
    <col min="12" max="12" width="7.75390625" style="129" customWidth="1"/>
    <col min="13" max="17" width="8.125" style="129" customWidth="1"/>
    <col min="18" max="18" width="9.00390625" style="129" customWidth="1"/>
    <col min="19" max="19" width="6.125" style="129" customWidth="1"/>
    <col min="20" max="20" width="7.50390625" style="129" customWidth="1"/>
    <col min="21" max="21" width="7.625" style="129" customWidth="1"/>
    <col min="22" max="22" width="7.75390625" style="129" customWidth="1"/>
    <col min="23" max="23" width="10.125" style="129" bestFit="1" customWidth="1"/>
    <col min="24" max="24" width="12.00390625" style="129" customWidth="1"/>
    <col min="25" max="25" width="10.25390625" style="129" bestFit="1" customWidth="1"/>
    <col min="26" max="26" width="8.75390625" style="129" bestFit="1" customWidth="1"/>
    <col min="27" max="27" width="7.75390625" style="129" customWidth="1"/>
    <col min="28" max="28" width="9.125" style="129" customWidth="1"/>
    <col min="29" max="29" width="9.875" style="129" customWidth="1"/>
    <col min="30" max="30" width="7.75390625" style="129" customWidth="1"/>
    <col min="31" max="31" width="9.375" style="129" customWidth="1"/>
    <col min="32" max="32" width="9.00390625" style="129" customWidth="1"/>
    <col min="33" max="33" width="5.875" style="129" customWidth="1"/>
    <col min="34" max="34" width="7.125" style="129" customWidth="1"/>
    <col min="35" max="35" width="8.125" style="129" customWidth="1"/>
    <col min="36" max="36" width="10.25390625" style="129" customWidth="1"/>
    <col min="37" max="16384" width="9.00390625" style="1" customWidth="1"/>
  </cols>
  <sheetData>
    <row r="1" spans="35:36" ht="15.75" outlineLevel="1">
      <c r="AI1" s="2"/>
      <c r="AJ1" s="143" t="s">
        <v>151</v>
      </c>
    </row>
    <row r="2" spans="35:36" ht="15.75" outlineLevel="1">
      <c r="AI2" s="2"/>
      <c r="AJ2" s="143" t="s">
        <v>37</v>
      </c>
    </row>
    <row r="3" spans="35:36" ht="15.75" outlineLevel="1">
      <c r="AI3" s="2"/>
      <c r="AJ3" s="289" t="s">
        <v>379</v>
      </c>
    </row>
    <row r="4" spans="35:36" ht="15.75" outlineLevel="1">
      <c r="AI4" s="2"/>
      <c r="AJ4" s="2"/>
    </row>
    <row r="5" spans="35:36" ht="15.75" outlineLevel="1">
      <c r="AI5" s="2"/>
      <c r="AJ5" s="2"/>
    </row>
    <row r="6" spans="35:36" ht="18.75" outlineLevel="1">
      <c r="AI6" s="2"/>
      <c r="AJ6" s="283" t="s">
        <v>38</v>
      </c>
    </row>
    <row r="7" spans="35:36" ht="18.75" outlineLevel="1">
      <c r="AI7" s="2"/>
      <c r="AJ7" s="283" t="s">
        <v>647</v>
      </c>
    </row>
    <row r="8" spans="35:36" ht="18.75" outlineLevel="1">
      <c r="AI8" s="2"/>
      <c r="AJ8" s="283"/>
    </row>
    <row r="9" spans="35:36" ht="18.75" outlineLevel="1">
      <c r="AI9" s="2"/>
      <c r="AJ9" s="283" t="s">
        <v>648</v>
      </c>
    </row>
    <row r="10" spans="35:36" ht="18.75" outlineLevel="1">
      <c r="AI10" s="2"/>
      <c r="AJ10" s="283" t="s">
        <v>795</v>
      </c>
    </row>
    <row r="11" spans="35:36" ht="21" customHeight="1" outlineLevel="1">
      <c r="AI11" s="2"/>
      <c r="AJ11" s="283" t="s">
        <v>42</v>
      </c>
    </row>
    <row r="12" spans="1:36" ht="40.5" customHeight="1">
      <c r="A12" s="985" t="s">
        <v>787</v>
      </c>
      <c r="B12" s="985"/>
      <c r="C12" s="985"/>
      <c r="D12" s="985"/>
      <c r="E12" s="985"/>
      <c r="F12" s="985"/>
      <c r="G12" s="985"/>
      <c r="H12" s="985"/>
      <c r="I12" s="985"/>
      <c r="J12" s="985"/>
      <c r="K12" s="985"/>
      <c r="L12" s="985"/>
      <c r="M12" s="985"/>
      <c r="N12" s="985"/>
      <c r="O12" s="985"/>
      <c r="P12" s="985"/>
      <c r="Q12" s="985"/>
      <c r="R12" s="985"/>
      <c r="S12" s="985"/>
      <c r="T12" s="985"/>
      <c r="U12" s="985"/>
      <c r="V12" s="985"/>
      <c r="W12" s="985"/>
      <c r="X12" s="985"/>
      <c r="Y12" s="985"/>
      <c r="Z12" s="985"/>
      <c r="AA12" s="985"/>
      <c r="AB12" s="985"/>
      <c r="AC12" s="985"/>
      <c r="AD12" s="985"/>
      <c r="AE12" s="985"/>
      <c r="AF12" s="985"/>
      <c r="AG12" s="985"/>
      <c r="AH12" s="985"/>
      <c r="AI12" s="985"/>
      <c r="AJ12" s="985"/>
    </row>
    <row r="13" spans="1:36" ht="38.25" customHeight="1">
      <c r="A13" s="989" t="s">
        <v>651</v>
      </c>
      <c r="B13" s="989"/>
      <c r="C13" s="989"/>
      <c r="D13" s="989"/>
      <c r="E13" s="989"/>
      <c r="F13" s="989"/>
      <c r="G13" s="989"/>
      <c r="H13" s="989"/>
      <c r="I13" s="989"/>
      <c r="J13" s="989"/>
      <c r="K13" s="989"/>
      <c r="L13" s="989"/>
      <c r="M13" s="989"/>
      <c r="N13" s="989"/>
      <c r="O13" s="989"/>
      <c r="P13" s="989"/>
      <c r="Q13" s="989"/>
      <c r="R13" s="989"/>
      <c r="S13" s="989"/>
      <c r="T13" s="989"/>
      <c r="U13" s="989"/>
      <c r="V13" s="989"/>
      <c r="W13" s="989"/>
      <c r="X13" s="989"/>
      <c r="Y13" s="989"/>
      <c r="Z13" s="989"/>
      <c r="AA13" s="989"/>
      <c r="AB13" s="989"/>
      <c r="AC13" s="989"/>
      <c r="AD13" s="989"/>
      <c r="AE13" s="989"/>
      <c r="AF13" s="989"/>
      <c r="AG13" s="989"/>
      <c r="AH13" s="989"/>
      <c r="AI13" s="989"/>
      <c r="AJ13" s="989"/>
    </row>
    <row r="14" ht="16.5" thickBot="1"/>
    <row r="15" spans="1:36" ht="22.5" customHeight="1">
      <c r="A15" s="960" t="s">
        <v>251</v>
      </c>
      <c r="B15" s="957" t="s">
        <v>111</v>
      </c>
      <c r="C15" s="983" t="s">
        <v>135</v>
      </c>
      <c r="D15" s="983"/>
      <c r="E15" s="983"/>
      <c r="F15" s="983"/>
      <c r="G15" s="983"/>
      <c r="H15" s="983" t="s">
        <v>136</v>
      </c>
      <c r="I15" s="983"/>
      <c r="J15" s="983"/>
      <c r="K15" s="983"/>
      <c r="L15" s="983"/>
      <c r="M15" s="983" t="s">
        <v>137</v>
      </c>
      <c r="N15" s="983"/>
      <c r="O15" s="983"/>
      <c r="P15" s="983"/>
      <c r="Q15" s="983"/>
      <c r="R15" s="976" t="s">
        <v>138</v>
      </c>
      <c r="S15" s="976"/>
      <c r="T15" s="976"/>
      <c r="U15" s="976"/>
      <c r="V15" s="976"/>
      <c r="W15" s="987" t="s">
        <v>112</v>
      </c>
      <c r="X15" s="987"/>
      <c r="Y15" s="987"/>
      <c r="Z15" s="987"/>
      <c r="AA15" s="987"/>
      <c r="AB15" s="987"/>
      <c r="AC15" s="987"/>
      <c r="AD15" s="987"/>
      <c r="AE15" s="987"/>
      <c r="AF15" s="987"/>
      <c r="AG15" s="987"/>
      <c r="AH15" s="987"/>
      <c r="AI15" s="987"/>
      <c r="AJ15" s="988"/>
    </row>
    <row r="16" spans="1:36" ht="27.75" customHeight="1">
      <c r="A16" s="961"/>
      <c r="B16" s="958"/>
      <c r="C16" s="984"/>
      <c r="D16" s="984"/>
      <c r="E16" s="984"/>
      <c r="F16" s="984"/>
      <c r="G16" s="984"/>
      <c r="H16" s="984"/>
      <c r="I16" s="984"/>
      <c r="J16" s="984"/>
      <c r="K16" s="984"/>
      <c r="L16" s="984"/>
      <c r="M16" s="984"/>
      <c r="N16" s="984"/>
      <c r="O16" s="984"/>
      <c r="P16" s="984"/>
      <c r="Q16" s="984"/>
      <c r="R16" s="964"/>
      <c r="S16" s="964"/>
      <c r="T16" s="964"/>
      <c r="U16" s="964"/>
      <c r="V16" s="964"/>
      <c r="W16" s="984" t="s">
        <v>160</v>
      </c>
      <c r="X16" s="984"/>
      <c r="Y16" s="984"/>
      <c r="Z16" s="984"/>
      <c r="AA16" s="980" t="s">
        <v>113</v>
      </c>
      <c r="AB16" s="980"/>
      <c r="AC16" s="980"/>
      <c r="AD16" s="980"/>
      <c r="AE16" s="980" t="s">
        <v>114</v>
      </c>
      <c r="AF16" s="980"/>
      <c r="AG16" s="980"/>
      <c r="AH16" s="980"/>
      <c r="AI16" s="980"/>
      <c r="AJ16" s="926" t="s">
        <v>162</v>
      </c>
    </row>
    <row r="17" spans="1:36" ht="82.5" customHeight="1">
      <c r="A17" s="962"/>
      <c r="B17" s="959"/>
      <c r="C17" s="4" t="s">
        <v>123</v>
      </c>
      <c r="D17" s="4" t="s">
        <v>124</v>
      </c>
      <c r="E17" s="4" t="s">
        <v>125</v>
      </c>
      <c r="F17" s="4" t="s">
        <v>126</v>
      </c>
      <c r="G17" s="4" t="s">
        <v>127</v>
      </c>
      <c r="H17" s="4" t="s">
        <v>123</v>
      </c>
      <c r="I17" s="4" t="s">
        <v>124</v>
      </c>
      <c r="J17" s="4" t="s">
        <v>125</v>
      </c>
      <c r="K17" s="4" t="s">
        <v>126</v>
      </c>
      <c r="L17" s="4" t="s">
        <v>127</v>
      </c>
      <c r="M17" s="4" t="s">
        <v>123</v>
      </c>
      <c r="N17" s="4" t="s">
        <v>124</v>
      </c>
      <c r="O17" s="4" t="s">
        <v>125</v>
      </c>
      <c r="P17" s="4" t="s">
        <v>126</v>
      </c>
      <c r="Q17" s="4" t="s">
        <v>127</v>
      </c>
      <c r="R17" s="4" t="s">
        <v>123</v>
      </c>
      <c r="S17" s="4" t="s">
        <v>124</v>
      </c>
      <c r="T17" s="4" t="s">
        <v>125</v>
      </c>
      <c r="U17" s="4" t="s">
        <v>126</v>
      </c>
      <c r="V17" s="4" t="s">
        <v>127</v>
      </c>
      <c r="W17" s="131" t="s">
        <v>115</v>
      </c>
      <c r="X17" s="140" t="s">
        <v>163</v>
      </c>
      <c r="Y17" s="4" t="s">
        <v>161</v>
      </c>
      <c r="Z17" s="4" t="s">
        <v>164</v>
      </c>
      <c r="AA17" s="138" t="s">
        <v>115</v>
      </c>
      <c r="AB17" s="139" t="s">
        <v>116</v>
      </c>
      <c r="AC17" s="139" t="s">
        <v>117</v>
      </c>
      <c r="AD17" s="139" t="s">
        <v>118</v>
      </c>
      <c r="AE17" s="138" t="s">
        <v>119</v>
      </c>
      <c r="AF17" s="139" t="s">
        <v>116</v>
      </c>
      <c r="AG17" s="138" t="s">
        <v>120</v>
      </c>
      <c r="AH17" s="138" t="s">
        <v>121</v>
      </c>
      <c r="AI17" s="139" t="s">
        <v>122</v>
      </c>
      <c r="AJ17" s="986"/>
    </row>
    <row r="18" spans="1:36" s="13" customFormat="1" ht="24.75" customHeight="1">
      <c r="A18" s="23"/>
      <c r="B18" s="22" t="s">
        <v>275</v>
      </c>
      <c r="C18" s="746">
        <f>C19+C36</f>
        <v>29.210479308409553</v>
      </c>
      <c r="D18" s="22"/>
      <c r="E18" s="22"/>
      <c r="F18" s="22"/>
      <c r="G18" s="22"/>
      <c r="H18" s="746">
        <f>H19+H36</f>
        <v>13.36743459</v>
      </c>
      <c r="I18" s="22"/>
      <c r="J18" s="22"/>
      <c r="K18" s="22"/>
      <c r="L18" s="22"/>
      <c r="M18" s="746">
        <f>M19+M36</f>
        <v>-15.843044718409548</v>
      </c>
      <c r="N18" s="22"/>
      <c r="O18" s="22"/>
      <c r="P18" s="22"/>
      <c r="Q18" s="22"/>
      <c r="R18" s="746">
        <f>R19+R36</f>
        <v>10.7503299408</v>
      </c>
      <c r="S18" s="22"/>
      <c r="T18" s="22"/>
      <c r="U18" s="22"/>
      <c r="V18" s="22"/>
      <c r="W18" s="704"/>
      <c r="X18" s="747"/>
      <c r="Y18" s="22"/>
      <c r="Z18" s="22"/>
      <c r="AA18" s="748"/>
      <c r="AB18" s="749"/>
      <c r="AC18" s="749"/>
      <c r="AD18" s="749"/>
      <c r="AE18" s="748"/>
      <c r="AF18" s="749"/>
      <c r="AG18" s="748"/>
      <c r="AH18" s="748"/>
      <c r="AI18" s="749"/>
      <c r="AJ18" s="135"/>
    </row>
    <row r="19" spans="1:36" s="13" customFormat="1" ht="15.75">
      <c r="A19" s="23" t="str">
        <f>'7.1'!A18</f>
        <v>1.</v>
      </c>
      <c r="B19" s="22" t="str">
        <f>'7.1'!B18</f>
        <v>Техническое перевооружение и реконструкция</v>
      </c>
      <c r="C19" s="746">
        <f>C20+C25+C28</f>
        <v>20.271788176376862</v>
      </c>
      <c r="D19" s="746"/>
      <c r="E19" s="746"/>
      <c r="F19" s="746"/>
      <c r="G19" s="746"/>
      <c r="H19" s="746">
        <f>H20+H25+H28</f>
        <v>2.84003871</v>
      </c>
      <c r="I19" s="750"/>
      <c r="J19" s="750"/>
      <c r="K19" s="750"/>
      <c r="L19" s="750"/>
      <c r="M19" s="746">
        <f>M20+M25+M28</f>
        <v>-17.431749466376857</v>
      </c>
      <c r="N19" s="750"/>
      <c r="O19" s="750"/>
      <c r="P19" s="750"/>
      <c r="Q19" s="750"/>
      <c r="R19" s="746">
        <f>R20+R25+R28</f>
        <v>7.7119874208</v>
      </c>
      <c r="S19" s="750"/>
      <c r="T19" s="750"/>
      <c r="U19" s="750"/>
      <c r="V19" s="750"/>
      <c r="W19" s="750"/>
      <c r="X19" s="750"/>
      <c r="Y19" s="750"/>
      <c r="Z19" s="750"/>
      <c r="AA19" s="750"/>
      <c r="AB19" s="750"/>
      <c r="AC19" s="750"/>
      <c r="AD19" s="750"/>
      <c r="AE19" s="750"/>
      <c r="AF19" s="750"/>
      <c r="AG19" s="750"/>
      <c r="AH19" s="750"/>
      <c r="AI19" s="750"/>
      <c r="AJ19" s="751"/>
    </row>
    <row r="20" spans="1:36" s="13" customFormat="1" ht="31.5">
      <c r="A20" s="23" t="str">
        <f>'7.1'!A19</f>
        <v>1.1.</v>
      </c>
      <c r="B20" s="22" t="str">
        <f>'7.1'!B19</f>
        <v>Энергосбережение и повышение энергетической эффективности</v>
      </c>
      <c r="C20" s="752">
        <f>C21+C22+C23+C24</f>
        <v>19.088405951397505</v>
      </c>
      <c r="D20" s="752"/>
      <c r="E20" s="752"/>
      <c r="F20" s="752"/>
      <c r="G20" s="752"/>
      <c r="H20" s="752">
        <f>H21+H22+H23+H24</f>
        <v>0.5933258100000001</v>
      </c>
      <c r="I20" s="753"/>
      <c r="J20" s="753"/>
      <c r="K20" s="753"/>
      <c r="L20" s="753"/>
      <c r="M20" s="752">
        <f>M21+M22+M23+M24</f>
        <v>-18.4950801413975</v>
      </c>
      <c r="N20" s="753"/>
      <c r="O20" s="753"/>
      <c r="P20" s="753"/>
      <c r="Q20" s="753"/>
      <c r="R20" s="752">
        <f>R21+R22+R23+R24</f>
        <v>6.2839186404</v>
      </c>
      <c r="S20" s="753"/>
      <c r="T20" s="753"/>
      <c r="U20" s="753"/>
      <c r="V20" s="753"/>
      <c r="W20" s="753"/>
      <c r="X20" s="753"/>
      <c r="Y20" s="753"/>
      <c r="Z20" s="753"/>
      <c r="AA20" s="753"/>
      <c r="AB20" s="753"/>
      <c r="AC20" s="753"/>
      <c r="AD20" s="753"/>
      <c r="AE20" s="753"/>
      <c r="AF20" s="753"/>
      <c r="AG20" s="753"/>
      <c r="AH20" s="753"/>
      <c r="AI20" s="753"/>
      <c r="AJ20" s="754"/>
    </row>
    <row r="21" spans="1:36" ht="31.5">
      <c r="A21" s="15" t="str">
        <f>'7.1'!A20</f>
        <v>1.1.1</v>
      </c>
      <c r="B21" s="4" t="str">
        <f>'7.1'!B20</f>
        <v>Реконструкция электроснабжения с. Усть-Хайрюзово (техническое перевооружение ДЭС)</v>
      </c>
      <c r="C21" s="607">
        <f>'7.1'!L20</f>
        <v>5.7126043305713825</v>
      </c>
      <c r="D21" s="607"/>
      <c r="E21" s="607"/>
      <c r="F21" s="607"/>
      <c r="G21" s="607"/>
      <c r="H21" s="607">
        <f>'7.1'!M20</f>
        <v>0</v>
      </c>
      <c r="I21" s="616"/>
      <c r="J21" s="616"/>
      <c r="K21" s="616"/>
      <c r="L21" s="616"/>
      <c r="M21" s="607">
        <f>H21-C21</f>
        <v>-5.7126043305713825</v>
      </c>
      <c r="N21" s="616"/>
      <c r="O21" s="616"/>
      <c r="P21" s="616"/>
      <c r="Q21" s="616"/>
      <c r="R21" s="607">
        <f>'7.1'!O20</f>
        <v>5.737454362799999</v>
      </c>
      <c r="S21" s="616"/>
      <c r="T21" s="616"/>
      <c r="U21" s="616"/>
      <c r="V21" s="616"/>
      <c r="W21" s="616"/>
      <c r="X21" s="616"/>
      <c r="Y21" s="616"/>
      <c r="Z21" s="616"/>
      <c r="AA21" s="616"/>
      <c r="AB21" s="616"/>
      <c r="AC21" s="616"/>
      <c r="AD21" s="616"/>
      <c r="AE21" s="616"/>
      <c r="AF21" s="616"/>
      <c r="AG21" s="616"/>
      <c r="AH21" s="616"/>
      <c r="AI21" s="616"/>
      <c r="AJ21" s="755"/>
    </row>
    <row r="22" spans="1:36" ht="15.75">
      <c r="A22" s="15" t="str">
        <f>'7.1'!A21</f>
        <v>1.1.2</v>
      </c>
      <c r="B22" s="4" t="str">
        <f>'7.1'!B21</f>
        <v>Установка одного ДГУ на ДЭС-6 п. Таежный</v>
      </c>
      <c r="C22" s="607">
        <f>'7.1'!L21</f>
        <v>0.4258358635554322</v>
      </c>
      <c r="D22" s="607"/>
      <c r="E22" s="607"/>
      <c r="F22" s="607"/>
      <c r="G22" s="607"/>
      <c r="H22" s="607">
        <f>'7.1'!M21</f>
        <v>0.2751642</v>
      </c>
      <c r="I22" s="616"/>
      <c r="J22" s="616"/>
      <c r="K22" s="616"/>
      <c r="L22" s="616"/>
      <c r="M22" s="607">
        <f>H22-C22</f>
        <v>-0.15067166355543216</v>
      </c>
      <c r="N22" s="616"/>
      <c r="O22" s="616"/>
      <c r="P22" s="616"/>
      <c r="Q22" s="616"/>
      <c r="R22" s="607">
        <f>'7.1'!O21</f>
        <v>0</v>
      </c>
      <c r="S22" s="616"/>
      <c r="T22" s="616"/>
      <c r="U22" s="616"/>
      <c r="V22" s="616"/>
      <c r="W22" s="616"/>
      <c r="X22" s="616"/>
      <c r="Y22" s="616"/>
      <c r="Z22" s="616"/>
      <c r="AA22" s="616"/>
      <c r="AB22" s="616"/>
      <c r="AC22" s="616"/>
      <c r="AD22" s="616"/>
      <c r="AE22" s="616"/>
      <c r="AF22" s="616"/>
      <c r="AG22" s="616"/>
      <c r="AH22" s="616"/>
      <c r="AI22" s="616"/>
      <c r="AJ22" s="755"/>
    </row>
    <row r="23" spans="1:36" ht="63">
      <c r="A23" s="15" t="str">
        <f>'7.1'!A22</f>
        <v>1.1.3</v>
      </c>
      <c r="B23" s="4" t="str">
        <f>'7.1'!B22</f>
        <v>Реконструкция основных генерирующих мощностей модульной ДЭС-8 с.Верхние Тиличики Олюторского района на основе полной замены основного генерирующего оборудования взамен изношенного</v>
      </c>
      <c r="C23" s="607">
        <f>'7.1'!L22</f>
        <v>12.94996575727069</v>
      </c>
      <c r="D23" s="607"/>
      <c r="E23" s="607"/>
      <c r="F23" s="607"/>
      <c r="G23" s="607"/>
      <c r="H23" s="607">
        <f>'7.1'!M22</f>
        <v>0.31816161</v>
      </c>
      <c r="I23" s="616"/>
      <c r="J23" s="616"/>
      <c r="K23" s="616"/>
      <c r="L23" s="616"/>
      <c r="M23" s="607">
        <f>H23-C23</f>
        <v>-12.631804147270689</v>
      </c>
      <c r="N23" s="616"/>
      <c r="O23" s="616"/>
      <c r="P23" s="616"/>
      <c r="Q23" s="616"/>
      <c r="R23" s="607">
        <f>'7.1'!O22</f>
        <v>0.5464642775999999</v>
      </c>
      <c r="S23" s="616"/>
      <c r="T23" s="616"/>
      <c r="U23" s="616"/>
      <c r="V23" s="616"/>
      <c r="W23" s="616"/>
      <c r="X23" s="616"/>
      <c r="Y23" s="616"/>
      <c r="Z23" s="616"/>
      <c r="AA23" s="616"/>
      <c r="AB23" s="616"/>
      <c r="AC23" s="616"/>
      <c r="AD23" s="616"/>
      <c r="AE23" s="616"/>
      <c r="AF23" s="616"/>
      <c r="AG23" s="616"/>
      <c r="AH23" s="616"/>
      <c r="AI23" s="616"/>
      <c r="AJ23" s="755"/>
    </row>
    <row r="24" spans="1:36" ht="15.75">
      <c r="A24" s="15" t="str">
        <f>'7.1'!A23</f>
        <v>1.1.4</v>
      </c>
      <c r="B24" s="4" t="str">
        <f>'7.1'!B23</f>
        <v>Установка одного ДГУ на ДЭС-16 п.Средние Пахачи****</v>
      </c>
      <c r="C24" s="607">
        <f>'7.1'!L23</f>
        <v>0</v>
      </c>
      <c r="D24" s="607"/>
      <c r="E24" s="607"/>
      <c r="F24" s="607"/>
      <c r="G24" s="607"/>
      <c r="H24" s="607">
        <f>'7.1'!M23</f>
        <v>0</v>
      </c>
      <c r="I24" s="616"/>
      <c r="J24" s="616"/>
      <c r="K24" s="616"/>
      <c r="L24" s="616"/>
      <c r="M24" s="607">
        <f>H24-C24</f>
        <v>0</v>
      </c>
      <c r="N24" s="616"/>
      <c r="O24" s="616"/>
      <c r="P24" s="616"/>
      <c r="Q24" s="616"/>
      <c r="R24" s="607">
        <f>'7.1'!O23</f>
        <v>0</v>
      </c>
      <c r="S24" s="616"/>
      <c r="T24" s="616"/>
      <c r="U24" s="616"/>
      <c r="V24" s="616"/>
      <c r="W24" s="616"/>
      <c r="X24" s="616"/>
      <c r="Y24" s="616"/>
      <c r="Z24" s="616"/>
      <c r="AA24" s="616"/>
      <c r="AB24" s="616"/>
      <c r="AC24" s="616"/>
      <c r="AD24" s="616"/>
      <c r="AE24" s="616"/>
      <c r="AF24" s="616"/>
      <c r="AG24" s="616"/>
      <c r="AH24" s="616"/>
      <c r="AI24" s="616"/>
      <c r="AJ24" s="755"/>
    </row>
    <row r="25" spans="1:36" ht="15.75">
      <c r="A25" s="23" t="str">
        <f>'7.1'!A24</f>
        <v>1.2.</v>
      </c>
      <c r="B25" s="22" t="str">
        <f>'7.1'!B24</f>
        <v>Технологичесское присоединение потребителей</v>
      </c>
      <c r="C25" s="752">
        <f>C26+C27</f>
        <v>0.26323694860468805</v>
      </c>
      <c r="D25" s="752"/>
      <c r="E25" s="752"/>
      <c r="F25" s="752"/>
      <c r="G25" s="752"/>
      <c r="H25" s="752">
        <f>H26+H27</f>
        <v>0.81864407</v>
      </c>
      <c r="I25" s="616"/>
      <c r="J25" s="616"/>
      <c r="K25" s="616"/>
      <c r="L25" s="616"/>
      <c r="M25" s="752">
        <f>M26+M27</f>
        <v>0.5554071213953119</v>
      </c>
      <c r="N25" s="616"/>
      <c r="O25" s="616"/>
      <c r="P25" s="616"/>
      <c r="Q25" s="616"/>
      <c r="R25" s="752">
        <f>R26+R27</f>
        <v>0</v>
      </c>
      <c r="S25" s="616"/>
      <c r="T25" s="616"/>
      <c r="U25" s="616"/>
      <c r="V25" s="616"/>
      <c r="W25" s="616"/>
      <c r="X25" s="616"/>
      <c r="Y25" s="616"/>
      <c r="Z25" s="616"/>
      <c r="AA25" s="616"/>
      <c r="AB25" s="616"/>
      <c r="AC25" s="616"/>
      <c r="AD25" s="616"/>
      <c r="AE25" s="616"/>
      <c r="AF25" s="616"/>
      <c r="AG25" s="616"/>
      <c r="AH25" s="616"/>
      <c r="AI25" s="616"/>
      <c r="AJ25" s="755"/>
    </row>
    <row r="26" spans="1:36" ht="31.5">
      <c r="A26" s="15" t="str">
        <f>'7.1'!A25</f>
        <v>1.2.1</v>
      </c>
      <c r="B26" s="4" t="str">
        <f>'7.1'!B25</f>
        <v>Реконструкции ТП-2 "Поселок" с. Хаилино (техприсоединение ФАП)</v>
      </c>
      <c r="C26" s="607">
        <f>'7.1'!L25</f>
        <v>0.10611536331727109</v>
      </c>
      <c r="D26" s="607"/>
      <c r="E26" s="607"/>
      <c r="F26" s="607"/>
      <c r="G26" s="607"/>
      <c r="H26" s="607">
        <f>'7.1'!M25</f>
        <v>0.409322035</v>
      </c>
      <c r="I26" s="616"/>
      <c r="J26" s="616"/>
      <c r="K26" s="616"/>
      <c r="L26" s="616"/>
      <c r="M26" s="607">
        <f>H26-C26</f>
        <v>0.30320667168272886</v>
      </c>
      <c r="N26" s="616"/>
      <c r="O26" s="616"/>
      <c r="P26" s="616"/>
      <c r="Q26" s="616"/>
      <c r="R26" s="607">
        <f>'7.1'!O25</f>
        <v>0</v>
      </c>
      <c r="S26" s="616"/>
      <c r="T26" s="616"/>
      <c r="U26" s="616"/>
      <c r="V26" s="616"/>
      <c r="W26" s="616"/>
      <c r="X26" s="616"/>
      <c r="Y26" s="616"/>
      <c r="Z26" s="616"/>
      <c r="AA26" s="616"/>
      <c r="AB26" s="616"/>
      <c r="AC26" s="616"/>
      <c r="AD26" s="616"/>
      <c r="AE26" s="616"/>
      <c r="AF26" s="616"/>
      <c r="AG26" s="616"/>
      <c r="AH26" s="616"/>
      <c r="AI26" s="616"/>
      <c r="AJ26" s="755"/>
    </row>
    <row r="27" spans="1:36" ht="47.25">
      <c r="A27" s="15" t="str">
        <f>'7.1'!A26</f>
        <v>1.2.2</v>
      </c>
      <c r="B27" s="4" t="str">
        <f>'7.1'!B26</f>
        <v>Реконструкции ТП-1 "ДЭС" с. Хаилино с кабельной линией от РУ-0,4кВ ДЭС-26 от ТП-1 с. Хаилино (техприсоединение ФАП)</v>
      </c>
      <c r="C27" s="607">
        <f>'7.1'!L26</f>
        <v>0.15712158528741696</v>
      </c>
      <c r="D27" s="607"/>
      <c r="E27" s="607"/>
      <c r="F27" s="607"/>
      <c r="G27" s="607"/>
      <c r="H27" s="607">
        <f>'7.1'!M26</f>
        <v>0.409322035</v>
      </c>
      <c r="I27" s="616"/>
      <c r="J27" s="616"/>
      <c r="K27" s="616"/>
      <c r="L27" s="616"/>
      <c r="M27" s="607">
        <f>H27-C27</f>
        <v>0.25220044971258304</v>
      </c>
      <c r="N27" s="616"/>
      <c r="O27" s="616"/>
      <c r="P27" s="616"/>
      <c r="Q27" s="616"/>
      <c r="R27" s="607">
        <f>'7.1'!O26</f>
        <v>0</v>
      </c>
      <c r="S27" s="616"/>
      <c r="T27" s="616"/>
      <c r="U27" s="616"/>
      <c r="V27" s="616"/>
      <c r="W27" s="616"/>
      <c r="X27" s="616"/>
      <c r="Y27" s="616"/>
      <c r="Z27" s="616"/>
      <c r="AA27" s="616"/>
      <c r="AB27" s="616"/>
      <c r="AC27" s="616"/>
      <c r="AD27" s="616"/>
      <c r="AE27" s="616"/>
      <c r="AF27" s="616"/>
      <c r="AG27" s="616"/>
      <c r="AH27" s="616"/>
      <c r="AI27" s="616"/>
      <c r="AJ27" s="755"/>
    </row>
    <row r="28" spans="1:36" s="13" customFormat="1" ht="15.75">
      <c r="A28" s="23" t="str">
        <f>'7.1'!A27</f>
        <v>1.3.</v>
      </c>
      <c r="B28" s="22" t="str">
        <f>'7.1'!B27</f>
        <v>Прочие объекты</v>
      </c>
      <c r="C28" s="752">
        <f>C29+C30+C31+C32+C33+C34+C35</f>
        <v>0.9201452763746684</v>
      </c>
      <c r="D28" s="752"/>
      <c r="E28" s="752"/>
      <c r="F28" s="752"/>
      <c r="G28" s="752"/>
      <c r="H28" s="752">
        <f>H29+H30+H31+H32+H33+H34+H35</f>
        <v>1.42806883</v>
      </c>
      <c r="I28" s="765"/>
      <c r="J28" s="765"/>
      <c r="K28" s="765"/>
      <c r="L28" s="765"/>
      <c r="M28" s="752">
        <f>M29+M30+M31+M32+M33+M34+M35</f>
        <v>0.5079235536253316</v>
      </c>
      <c r="N28" s="765"/>
      <c r="O28" s="765"/>
      <c r="P28" s="765"/>
      <c r="Q28" s="765"/>
      <c r="R28" s="752">
        <f>R29+R30+R31+R32+R33+R34+R35</f>
        <v>1.4280687804</v>
      </c>
      <c r="S28" s="765"/>
      <c r="T28" s="765"/>
      <c r="U28" s="765"/>
      <c r="V28" s="765"/>
      <c r="W28" s="765"/>
      <c r="X28" s="765"/>
      <c r="Y28" s="765"/>
      <c r="Z28" s="765"/>
      <c r="AA28" s="765"/>
      <c r="AB28" s="765"/>
      <c r="AC28" s="765"/>
      <c r="AD28" s="765"/>
      <c r="AE28" s="765"/>
      <c r="AF28" s="765"/>
      <c r="AG28" s="765"/>
      <c r="AH28" s="765"/>
      <c r="AI28" s="765"/>
      <c r="AJ28" s="766"/>
    </row>
    <row r="29" spans="1:36" ht="15.75">
      <c r="A29" s="15" t="str">
        <f>'7.1'!A28</f>
        <v>1.3.1</v>
      </c>
      <c r="B29" s="4" t="str">
        <f>'7.1'!B28</f>
        <v>Снегоход Arctic Cat с.Ильпырское</v>
      </c>
      <c r="C29" s="607">
        <f>'7.1'!L28</f>
        <v>0.08463117526772418</v>
      </c>
      <c r="D29" s="607"/>
      <c r="E29" s="607"/>
      <c r="F29" s="607"/>
      <c r="G29" s="607"/>
      <c r="H29" s="607">
        <f>'7.1'!M28</f>
        <v>0.11515531</v>
      </c>
      <c r="I29" s="756"/>
      <c r="J29" s="756"/>
      <c r="K29" s="756"/>
      <c r="L29" s="756"/>
      <c r="M29" s="607">
        <f aca="true" t="shared" si="0" ref="M29:M35">H29-C29</f>
        <v>0.030524134732275818</v>
      </c>
      <c r="N29" s="756"/>
      <c r="O29" s="756"/>
      <c r="P29" s="756"/>
      <c r="Q29" s="756"/>
      <c r="R29" s="607">
        <f>'7.1'!O28</f>
        <v>0.115155315</v>
      </c>
      <c r="S29" s="756"/>
      <c r="T29" s="756"/>
      <c r="U29" s="756"/>
      <c r="V29" s="756"/>
      <c r="W29" s="756"/>
      <c r="X29" s="756"/>
      <c r="Y29" s="756"/>
      <c r="Z29" s="756"/>
      <c r="AA29" s="756"/>
      <c r="AB29" s="756"/>
      <c r="AC29" s="756"/>
      <c r="AD29" s="756"/>
      <c r="AE29" s="756"/>
      <c r="AF29" s="756"/>
      <c r="AG29" s="756"/>
      <c r="AH29" s="756"/>
      <c r="AI29" s="756"/>
      <c r="AJ29" s="757"/>
    </row>
    <row r="30" spans="1:36" ht="15.75">
      <c r="A30" s="15" t="str">
        <f>'7.1'!A29</f>
        <v>1.3.2</v>
      </c>
      <c r="B30" s="4" t="str">
        <f>'7.1'!B29</f>
        <v>Снегоход Arctic Cat с.Тымлат</v>
      </c>
      <c r="C30" s="607">
        <f>'7.1'!L29</f>
        <v>0.08463117526772418</v>
      </c>
      <c r="D30" s="607"/>
      <c r="E30" s="607"/>
      <c r="F30" s="607"/>
      <c r="G30" s="607"/>
      <c r="H30" s="607">
        <f>'7.1'!M29</f>
        <v>0</v>
      </c>
      <c r="I30" s="756"/>
      <c r="J30" s="756"/>
      <c r="K30" s="756"/>
      <c r="L30" s="756"/>
      <c r="M30" s="607">
        <f t="shared" si="0"/>
        <v>-0.08463117526772418</v>
      </c>
      <c r="N30" s="756"/>
      <c r="O30" s="756"/>
      <c r="P30" s="756"/>
      <c r="Q30" s="756"/>
      <c r="R30" s="607">
        <f>'7.1'!O29</f>
        <v>0</v>
      </c>
      <c r="S30" s="756"/>
      <c r="T30" s="756"/>
      <c r="U30" s="756"/>
      <c r="V30" s="756"/>
      <c r="W30" s="756"/>
      <c r="X30" s="756"/>
      <c r="Y30" s="756"/>
      <c r="Z30" s="756"/>
      <c r="AA30" s="756"/>
      <c r="AB30" s="756"/>
      <c r="AC30" s="756"/>
      <c r="AD30" s="756"/>
      <c r="AE30" s="756"/>
      <c r="AF30" s="756"/>
      <c r="AG30" s="756"/>
      <c r="AH30" s="756"/>
      <c r="AI30" s="756"/>
      <c r="AJ30" s="757"/>
    </row>
    <row r="31" spans="1:36" ht="15.75">
      <c r="A31" s="15" t="str">
        <f>'7.1'!A30</f>
        <v>1.3.3</v>
      </c>
      <c r="B31" s="4" t="str">
        <f>'7.1'!B30</f>
        <v>Автомобиль УАЗ-29891 с.Пахачи</v>
      </c>
      <c r="C31" s="607">
        <f>'7.1'!L30</f>
        <v>0.04651579900992914</v>
      </c>
      <c r="D31" s="607"/>
      <c r="E31" s="607"/>
      <c r="F31" s="607"/>
      <c r="G31" s="607"/>
      <c r="H31" s="607">
        <f>'7.1'!M30</f>
        <v>0.07347006</v>
      </c>
      <c r="I31" s="756"/>
      <c r="J31" s="756"/>
      <c r="K31" s="756"/>
      <c r="L31" s="756"/>
      <c r="M31" s="607">
        <f t="shared" si="0"/>
        <v>0.026954260990070866</v>
      </c>
      <c r="N31" s="756"/>
      <c r="O31" s="756"/>
      <c r="P31" s="756"/>
      <c r="Q31" s="756"/>
      <c r="R31" s="607">
        <f>'7.1'!O30</f>
        <v>0.073470045</v>
      </c>
      <c r="S31" s="756"/>
      <c r="T31" s="756"/>
      <c r="U31" s="756"/>
      <c r="V31" s="756"/>
      <c r="W31" s="756"/>
      <c r="X31" s="756"/>
      <c r="Y31" s="756"/>
      <c r="Z31" s="756"/>
      <c r="AA31" s="756"/>
      <c r="AB31" s="756"/>
      <c r="AC31" s="756"/>
      <c r="AD31" s="756"/>
      <c r="AE31" s="756"/>
      <c r="AF31" s="756"/>
      <c r="AG31" s="756"/>
      <c r="AH31" s="756"/>
      <c r="AI31" s="756"/>
      <c r="AJ31" s="757"/>
    </row>
    <row r="32" spans="1:36" ht="15.75">
      <c r="A32" s="15" t="str">
        <f>'7.1'!A31</f>
        <v>1.3.4</v>
      </c>
      <c r="B32" s="4" t="str">
        <f>'7.1'!B31</f>
        <v>Автомобиль УАЗ-29891 п.Таежный</v>
      </c>
      <c r="C32" s="607">
        <f>'7.1'!L31</f>
        <v>0.04651579900992914</v>
      </c>
      <c r="D32" s="607"/>
      <c r="E32" s="607"/>
      <c r="F32" s="607"/>
      <c r="G32" s="607"/>
      <c r="H32" s="607">
        <f>'7.1'!M31</f>
        <v>0.07347006</v>
      </c>
      <c r="I32" s="756"/>
      <c r="J32" s="756"/>
      <c r="K32" s="756"/>
      <c r="L32" s="756"/>
      <c r="M32" s="607">
        <f t="shared" si="0"/>
        <v>0.026954260990070866</v>
      </c>
      <c r="N32" s="756"/>
      <c r="O32" s="756"/>
      <c r="P32" s="756"/>
      <c r="Q32" s="756"/>
      <c r="R32" s="607">
        <f>'7.1'!O31</f>
        <v>0.073470045</v>
      </c>
      <c r="S32" s="756"/>
      <c r="T32" s="756"/>
      <c r="U32" s="756"/>
      <c r="V32" s="756"/>
      <c r="W32" s="756"/>
      <c r="X32" s="756"/>
      <c r="Y32" s="756"/>
      <c r="Z32" s="756"/>
      <c r="AA32" s="756"/>
      <c r="AB32" s="756"/>
      <c r="AC32" s="756"/>
      <c r="AD32" s="756"/>
      <c r="AE32" s="756"/>
      <c r="AF32" s="756"/>
      <c r="AG32" s="756"/>
      <c r="AH32" s="756"/>
      <c r="AI32" s="756"/>
      <c r="AJ32" s="757"/>
    </row>
    <row r="33" spans="1:36" ht="31.5">
      <c r="A33" s="15" t="str">
        <f>'7.1'!A32</f>
        <v>1.3.5</v>
      </c>
      <c r="B33" s="4" t="str">
        <f>'7.1'!B32</f>
        <v>Грузовой автомобиль с манипулятором FUSO Canter Аппарат управления</v>
      </c>
      <c r="C33" s="607">
        <f>'7.1'!L32</f>
        <v>0.15654412985233027</v>
      </c>
      <c r="D33" s="607"/>
      <c r="E33" s="607"/>
      <c r="F33" s="607"/>
      <c r="G33" s="607"/>
      <c r="H33" s="607">
        <f>'7.1'!M32</f>
        <v>0.27745827</v>
      </c>
      <c r="I33" s="756"/>
      <c r="J33" s="756"/>
      <c r="K33" s="756"/>
      <c r="L33" s="756"/>
      <c r="M33" s="607">
        <f t="shared" si="0"/>
        <v>0.12091414014766974</v>
      </c>
      <c r="N33" s="756"/>
      <c r="O33" s="756"/>
      <c r="P33" s="756"/>
      <c r="Q33" s="756"/>
      <c r="R33" s="607">
        <f>'7.1'!O32</f>
        <v>0.2774582616</v>
      </c>
      <c r="S33" s="756"/>
      <c r="T33" s="756"/>
      <c r="U33" s="756"/>
      <c r="V33" s="756"/>
      <c r="W33" s="756"/>
      <c r="X33" s="756"/>
      <c r="Y33" s="756"/>
      <c r="Z33" s="756"/>
      <c r="AA33" s="756"/>
      <c r="AB33" s="756"/>
      <c r="AC33" s="756"/>
      <c r="AD33" s="756"/>
      <c r="AE33" s="756"/>
      <c r="AF33" s="756"/>
      <c r="AG33" s="756"/>
      <c r="AH33" s="756"/>
      <c r="AI33" s="756"/>
      <c r="AJ33" s="757"/>
    </row>
    <row r="34" spans="1:36" ht="15.75">
      <c r="A34" s="15" t="str">
        <f>'7.1'!A33</f>
        <v>1.3.6</v>
      </c>
      <c r="B34" s="4" t="str">
        <f>'7.1'!B33</f>
        <v>Автокран КС-45721-17 "Челябинец" с.Усть-Хайрюзово</v>
      </c>
      <c r="C34" s="607">
        <f>'7.1'!L33</f>
        <v>0.34627955721808856</v>
      </c>
      <c r="D34" s="607"/>
      <c r="E34" s="607"/>
      <c r="F34" s="607"/>
      <c r="G34" s="607"/>
      <c r="H34" s="607">
        <f>'7.1'!M33</f>
        <v>0.61374468</v>
      </c>
      <c r="I34" s="756"/>
      <c r="J34" s="756"/>
      <c r="K34" s="756"/>
      <c r="L34" s="756"/>
      <c r="M34" s="607">
        <f t="shared" si="0"/>
        <v>0.2674651227819115</v>
      </c>
      <c r="N34" s="756"/>
      <c r="O34" s="756"/>
      <c r="P34" s="756"/>
      <c r="Q34" s="756"/>
      <c r="R34" s="607">
        <f>'7.1'!O33</f>
        <v>0.6137446679999999</v>
      </c>
      <c r="S34" s="756"/>
      <c r="T34" s="756"/>
      <c r="U34" s="756"/>
      <c r="V34" s="756"/>
      <c r="W34" s="756"/>
      <c r="X34" s="756"/>
      <c r="Y34" s="756"/>
      <c r="Z34" s="756"/>
      <c r="AA34" s="756"/>
      <c r="AB34" s="756"/>
      <c r="AC34" s="756"/>
      <c r="AD34" s="756"/>
      <c r="AE34" s="756"/>
      <c r="AF34" s="756"/>
      <c r="AG34" s="756"/>
      <c r="AH34" s="756"/>
      <c r="AI34" s="756"/>
      <c r="AJ34" s="757"/>
    </row>
    <row r="35" spans="1:36" ht="15.75">
      <c r="A35" s="15" t="str">
        <f>'7.1'!A34</f>
        <v>1.3.7</v>
      </c>
      <c r="B35" s="4" t="str">
        <f>'7.1'!B34</f>
        <v>Снегоболотоход гусенечный ГАЗ 34039-32 с.Тымлат</v>
      </c>
      <c r="C35" s="607">
        <f>'7.1'!L34</f>
        <v>0.15502764074894296</v>
      </c>
      <c r="D35" s="606"/>
      <c r="E35" s="606"/>
      <c r="F35" s="606"/>
      <c r="G35" s="606"/>
      <c r="H35" s="607">
        <f>'7.1'!M34</f>
        <v>0.27477045</v>
      </c>
      <c r="I35" s="758"/>
      <c r="J35" s="758"/>
      <c r="K35" s="758"/>
      <c r="L35" s="758"/>
      <c r="M35" s="607">
        <f t="shared" si="0"/>
        <v>0.11974280925105704</v>
      </c>
      <c r="N35" s="758"/>
      <c r="O35" s="758"/>
      <c r="P35" s="758"/>
      <c r="Q35" s="758"/>
      <c r="R35" s="607">
        <f>'7.1'!O34</f>
        <v>0.2747704458</v>
      </c>
      <c r="S35" s="758"/>
      <c r="T35" s="758"/>
      <c r="U35" s="758"/>
      <c r="V35" s="758"/>
      <c r="W35" s="758"/>
      <c r="X35" s="758"/>
      <c r="Y35" s="758"/>
      <c r="Z35" s="758"/>
      <c r="AA35" s="758"/>
      <c r="AB35" s="758"/>
      <c r="AC35" s="758"/>
      <c r="AD35" s="758"/>
      <c r="AE35" s="758"/>
      <c r="AF35" s="758"/>
      <c r="AG35" s="758"/>
      <c r="AH35" s="758"/>
      <c r="AI35" s="758"/>
      <c r="AJ35" s="759"/>
    </row>
    <row r="36" spans="1:36" s="13" customFormat="1" ht="15.75">
      <c r="A36" s="23" t="str">
        <f>'7.1'!A35</f>
        <v>2.</v>
      </c>
      <c r="B36" s="22" t="str">
        <f>'7.1'!B35</f>
        <v>Новое строительство</v>
      </c>
      <c r="C36" s="752">
        <f>C37+C39</f>
        <v>8.938691132032691</v>
      </c>
      <c r="D36" s="608"/>
      <c r="E36" s="608"/>
      <c r="F36" s="608"/>
      <c r="G36" s="608"/>
      <c r="H36" s="752">
        <f>H37+H39</f>
        <v>10.52739588</v>
      </c>
      <c r="I36" s="767"/>
      <c r="J36" s="767"/>
      <c r="K36" s="767"/>
      <c r="L36" s="767"/>
      <c r="M36" s="752">
        <f>M37+M39</f>
        <v>1.5887047479673084</v>
      </c>
      <c r="N36" s="767"/>
      <c r="O36" s="767"/>
      <c r="P36" s="767"/>
      <c r="Q36" s="767"/>
      <c r="R36" s="752">
        <f>R37+R39</f>
        <v>3.03834252</v>
      </c>
      <c r="S36" s="767"/>
      <c r="T36" s="767"/>
      <c r="U36" s="767"/>
      <c r="V36" s="767"/>
      <c r="W36" s="767"/>
      <c r="X36" s="767"/>
      <c r="Y36" s="767"/>
      <c r="Z36" s="767"/>
      <c r="AA36" s="767"/>
      <c r="AB36" s="767"/>
      <c r="AC36" s="767"/>
      <c r="AD36" s="767"/>
      <c r="AE36" s="767"/>
      <c r="AF36" s="767"/>
      <c r="AG36" s="767"/>
      <c r="AH36" s="767"/>
      <c r="AI36" s="767"/>
      <c r="AJ36" s="768"/>
    </row>
    <row r="37" spans="1:36" ht="31.5">
      <c r="A37" s="23" t="str">
        <f>'7.1'!A36</f>
        <v>2.1.</v>
      </c>
      <c r="B37" s="22" t="str">
        <f>'7.1'!B36</f>
        <v>Энергосбережение и повышение энергетической эффективности</v>
      </c>
      <c r="C37" s="752">
        <f>C38</f>
        <v>6.2359070976434765</v>
      </c>
      <c r="D37" s="608"/>
      <c r="E37" s="608"/>
      <c r="F37" s="608"/>
      <c r="G37" s="608"/>
      <c r="H37" s="752">
        <f>H38</f>
        <v>9.39653588</v>
      </c>
      <c r="I37" s="767"/>
      <c r="J37" s="767"/>
      <c r="K37" s="767"/>
      <c r="L37" s="767"/>
      <c r="M37" s="752">
        <f>H37-C37</f>
        <v>3.1606287823565236</v>
      </c>
      <c r="N37" s="767"/>
      <c r="O37" s="767"/>
      <c r="P37" s="767"/>
      <c r="Q37" s="767"/>
      <c r="R37" s="752">
        <f>'7.1'!O36</f>
        <v>0</v>
      </c>
      <c r="S37" s="767"/>
      <c r="T37" s="767"/>
      <c r="U37" s="767"/>
      <c r="V37" s="767"/>
      <c r="W37" s="767"/>
      <c r="X37" s="767"/>
      <c r="Y37" s="767"/>
      <c r="Z37" s="767"/>
      <c r="AA37" s="767"/>
      <c r="AB37" s="767"/>
      <c r="AC37" s="767"/>
      <c r="AD37" s="767"/>
      <c r="AE37" s="767"/>
      <c r="AF37" s="767"/>
      <c r="AG37" s="767"/>
      <c r="AH37" s="767"/>
      <c r="AI37" s="767"/>
      <c r="AJ37" s="768"/>
    </row>
    <row r="38" spans="1:36" ht="31.5">
      <c r="A38" s="15" t="str">
        <f>'7.1'!A37</f>
        <v>2.1.1</v>
      </c>
      <c r="B38" s="4" t="str">
        <f>'7.1'!B37</f>
        <v>Реконструкция электроснабжения с. Пахачи (Строительство ДЭС в п. Пахачи)</v>
      </c>
      <c r="C38" s="607">
        <f>'7.1'!L37</f>
        <v>6.2359070976434765</v>
      </c>
      <c r="D38" s="606"/>
      <c r="E38" s="606"/>
      <c r="F38" s="606"/>
      <c r="G38" s="606"/>
      <c r="H38" s="607">
        <f>'7.1'!M37</f>
        <v>9.39653588</v>
      </c>
      <c r="I38" s="758"/>
      <c r="J38" s="758"/>
      <c r="K38" s="758"/>
      <c r="L38" s="758"/>
      <c r="M38" s="607">
        <f>H38-C38</f>
        <v>3.1606287823565236</v>
      </c>
      <c r="N38" s="758"/>
      <c r="O38" s="758"/>
      <c r="P38" s="758"/>
      <c r="Q38" s="758"/>
      <c r="R38" s="607">
        <f>'7.1'!O37</f>
        <v>0</v>
      </c>
      <c r="S38" s="758"/>
      <c r="T38" s="758"/>
      <c r="U38" s="758"/>
      <c r="V38" s="758"/>
      <c r="W38" s="758"/>
      <c r="X38" s="758"/>
      <c r="Y38" s="758"/>
      <c r="Z38" s="758"/>
      <c r="AA38" s="758"/>
      <c r="AB38" s="758"/>
      <c r="AC38" s="758"/>
      <c r="AD38" s="758"/>
      <c r="AE38" s="758"/>
      <c r="AF38" s="758"/>
      <c r="AG38" s="758"/>
      <c r="AH38" s="758"/>
      <c r="AI38" s="758"/>
      <c r="AJ38" s="759"/>
    </row>
    <row r="39" spans="1:36" s="13" customFormat="1" ht="15.75">
      <c r="A39" s="23" t="str">
        <f>'7.1'!A38</f>
        <v>2.2.</v>
      </c>
      <c r="B39" s="22" t="str">
        <f>'7.1'!B38</f>
        <v>Прочее новое строительство</v>
      </c>
      <c r="C39" s="752">
        <f>C40+C41+C42+C43</f>
        <v>2.7027840343892153</v>
      </c>
      <c r="D39" s="608"/>
      <c r="E39" s="608"/>
      <c r="F39" s="608"/>
      <c r="G39" s="608"/>
      <c r="H39" s="752">
        <f>H40+H41+H42+H43</f>
        <v>1.13086</v>
      </c>
      <c r="I39" s="767"/>
      <c r="J39" s="767"/>
      <c r="K39" s="767"/>
      <c r="L39" s="767"/>
      <c r="M39" s="752">
        <f>M40+M41+M42+M43</f>
        <v>-1.5719240343892151</v>
      </c>
      <c r="N39" s="767"/>
      <c r="O39" s="767"/>
      <c r="P39" s="767"/>
      <c r="Q39" s="767"/>
      <c r="R39" s="752">
        <f>R40+R41+R42+R43</f>
        <v>3.03834252</v>
      </c>
      <c r="S39" s="767"/>
      <c r="T39" s="767"/>
      <c r="U39" s="767"/>
      <c r="V39" s="767"/>
      <c r="W39" s="767"/>
      <c r="X39" s="767"/>
      <c r="Y39" s="767"/>
      <c r="Z39" s="767"/>
      <c r="AA39" s="767"/>
      <c r="AB39" s="767"/>
      <c r="AC39" s="767"/>
      <c r="AD39" s="767"/>
      <c r="AE39" s="767"/>
      <c r="AF39" s="767"/>
      <c r="AG39" s="767"/>
      <c r="AH39" s="767"/>
      <c r="AI39" s="767"/>
      <c r="AJ39" s="768"/>
    </row>
    <row r="40" spans="1:36" ht="15.75">
      <c r="A40" s="15" t="str">
        <f>'7.1'!A39</f>
        <v>2.2.1</v>
      </c>
      <c r="B40" s="4" t="str">
        <f>'7.1'!B39</f>
        <v>Строительство склада ГСМ в с. Вывенка</v>
      </c>
      <c r="C40" s="607">
        <f>'7.1'!L39</f>
        <v>0.5482689637760731</v>
      </c>
      <c r="D40" s="606"/>
      <c r="E40" s="606"/>
      <c r="F40" s="606"/>
      <c r="G40" s="606"/>
      <c r="H40" s="607">
        <f>'7.1'!M39</f>
        <v>0</v>
      </c>
      <c r="I40" s="758"/>
      <c r="J40" s="758"/>
      <c r="K40" s="758"/>
      <c r="L40" s="758"/>
      <c r="M40" s="607">
        <f>H40-C40</f>
        <v>-0.5482689637760731</v>
      </c>
      <c r="N40" s="758"/>
      <c r="O40" s="758"/>
      <c r="P40" s="758"/>
      <c r="Q40" s="758"/>
      <c r="R40" s="607">
        <f>'7.1'!O39</f>
        <v>0</v>
      </c>
      <c r="S40" s="758"/>
      <c r="T40" s="758"/>
      <c r="U40" s="758"/>
      <c r="V40" s="758"/>
      <c r="W40" s="758"/>
      <c r="X40" s="758"/>
      <c r="Y40" s="758"/>
      <c r="Z40" s="758"/>
      <c r="AA40" s="758"/>
      <c r="AB40" s="758"/>
      <c r="AC40" s="758"/>
      <c r="AD40" s="758"/>
      <c r="AE40" s="758"/>
      <c r="AF40" s="758"/>
      <c r="AG40" s="758"/>
      <c r="AH40" s="758"/>
      <c r="AI40" s="758"/>
      <c r="AJ40" s="759"/>
    </row>
    <row r="41" spans="1:36" ht="31.5">
      <c r="A41" s="15" t="str">
        <f>'7.1'!A40</f>
        <v>2.2.2</v>
      </c>
      <c r="B41" s="4" t="str">
        <f>'7.1'!B40</f>
        <v>Строительство склада ГСМ в с. Тиличики 2000м3 (одна емкость 2000м3) с трубопроводом и насосной станцией</v>
      </c>
      <c r="C41" s="607">
        <f>'7.1'!L40</f>
        <v>0.7049776899801424</v>
      </c>
      <c r="D41" s="606"/>
      <c r="E41" s="606"/>
      <c r="F41" s="606"/>
      <c r="G41" s="606"/>
      <c r="H41" s="607">
        <f>'7.1'!M40</f>
        <v>1.13086</v>
      </c>
      <c r="I41" s="758"/>
      <c r="J41" s="758"/>
      <c r="K41" s="758"/>
      <c r="L41" s="758"/>
      <c r="M41" s="607">
        <f>H41-C41</f>
        <v>0.42588231001985755</v>
      </c>
      <c r="N41" s="758"/>
      <c r="O41" s="758"/>
      <c r="P41" s="758"/>
      <c r="Q41" s="758"/>
      <c r="R41" s="607">
        <f>'7.1'!O40</f>
        <v>0.14086</v>
      </c>
      <c r="S41" s="758"/>
      <c r="T41" s="758"/>
      <c r="U41" s="758"/>
      <c r="V41" s="758"/>
      <c r="W41" s="758"/>
      <c r="X41" s="758"/>
      <c r="Y41" s="758"/>
      <c r="Z41" s="758"/>
      <c r="AA41" s="758"/>
      <c r="AB41" s="758"/>
      <c r="AC41" s="758"/>
      <c r="AD41" s="758"/>
      <c r="AE41" s="758"/>
      <c r="AF41" s="758"/>
      <c r="AG41" s="758"/>
      <c r="AH41" s="758"/>
      <c r="AI41" s="758"/>
      <c r="AJ41" s="759"/>
    </row>
    <row r="42" spans="1:36" ht="31.5">
      <c r="A42" s="15" t="str">
        <f>'7.1'!A41</f>
        <v>2.2.3</v>
      </c>
      <c r="B42" s="4" t="str">
        <f>'7.1'!B41</f>
        <v>Строительство склада ГСМ в с.Средние Пахачи 500 м3 (две емкости 200м3 и 300м3)</v>
      </c>
      <c r="C42" s="607">
        <f>'7.1'!L41</f>
        <v>1.4495373806329994</v>
      </c>
      <c r="D42" s="606"/>
      <c r="E42" s="606"/>
      <c r="F42" s="606"/>
      <c r="G42" s="606"/>
      <c r="H42" s="607">
        <f>'7.1'!M41</f>
        <v>0</v>
      </c>
      <c r="I42" s="758"/>
      <c r="J42" s="758"/>
      <c r="K42" s="758"/>
      <c r="L42" s="758"/>
      <c r="M42" s="607">
        <f>H42-C42</f>
        <v>-1.4495373806329994</v>
      </c>
      <c r="N42" s="758"/>
      <c r="O42" s="758"/>
      <c r="P42" s="758"/>
      <c r="Q42" s="758"/>
      <c r="R42" s="607">
        <f>'7.1'!O41</f>
        <v>2.89748252</v>
      </c>
      <c r="S42" s="758"/>
      <c r="T42" s="758"/>
      <c r="U42" s="758"/>
      <c r="V42" s="758"/>
      <c r="W42" s="758"/>
      <c r="X42" s="758"/>
      <c r="Y42" s="758"/>
      <c r="Z42" s="758"/>
      <c r="AA42" s="758"/>
      <c r="AB42" s="758"/>
      <c r="AC42" s="758"/>
      <c r="AD42" s="758"/>
      <c r="AE42" s="758"/>
      <c r="AF42" s="758"/>
      <c r="AG42" s="758"/>
      <c r="AH42" s="758"/>
      <c r="AI42" s="758"/>
      <c r="AJ42" s="759"/>
    </row>
    <row r="43" spans="1:36" ht="15.75">
      <c r="A43" s="15" t="str">
        <f>'7.1'!A42</f>
        <v>2.2.4</v>
      </c>
      <c r="B43" s="4" t="str">
        <f>'7.1'!B42</f>
        <v>Строительство склада ГСМ в с. Ковран****</v>
      </c>
      <c r="C43" s="607">
        <f>'7.1'!L42</f>
        <v>0</v>
      </c>
      <c r="D43" s="606"/>
      <c r="E43" s="606"/>
      <c r="F43" s="606"/>
      <c r="G43" s="606"/>
      <c r="H43" s="607">
        <f>'7.1'!M42</f>
        <v>0</v>
      </c>
      <c r="I43" s="758"/>
      <c r="J43" s="758"/>
      <c r="K43" s="758"/>
      <c r="L43" s="758"/>
      <c r="M43" s="607">
        <f>H43-C43</f>
        <v>0</v>
      </c>
      <c r="N43" s="758"/>
      <c r="O43" s="758"/>
      <c r="P43" s="758"/>
      <c r="Q43" s="758"/>
      <c r="R43" s="607">
        <f>'7.1'!O42</f>
        <v>0</v>
      </c>
      <c r="S43" s="758"/>
      <c r="T43" s="758"/>
      <c r="U43" s="758"/>
      <c r="V43" s="758"/>
      <c r="W43" s="758"/>
      <c r="X43" s="758"/>
      <c r="Y43" s="758"/>
      <c r="Z43" s="758"/>
      <c r="AA43" s="758"/>
      <c r="AB43" s="758"/>
      <c r="AC43" s="758"/>
      <c r="AD43" s="758"/>
      <c r="AE43" s="758"/>
      <c r="AF43" s="758"/>
      <c r="AG43" s="758"/>
      <c r="AH43" s="758"/>
      <c r="AI43" s="758"/>
      <c r="AJ43" s="759"/>
    </row>
    <row r="44" spans="1:36" ht="38.25" customHeight="1" hidden="1">
      <c r="A44" s="23" t="str">
        <f>'7.1'!A43</f>
        <v>1.1.9</v>
      </c>
      <c r="B44" s="489" t="s">
        <v>35</v>
      </c>
      <c r="C44" s="607"/>
      <c r="D44" s="606"/>
      <c r="E44" s="606"/>
      <c r="F44" s="606"/>
      <c r="G44" s="606"/>
      <c r="H44" s="758"/>
      <c r="I44" s="758"/>
      <c r="J44" s="758"/>
      <c r="K44" s="758"/>
      <c r="L44" s="758"/>
      <c r="M44" s="758"/>
      <c r="N44" s="758"/>
      <c r="O44" s="758"/>
      <c r="P44" s="758"/>
      <c r="Q44" s="758"/>
      <c r="R44" s="758"/>
      <c r="S44" s="758"/>
      <c r="T44" s="758"/>
      <c r="U44" s="758"/>
      <c r="V44" s="758"/>
      <c r="W44" s="758"/>
      <c r="X44" s="758"/>
      <c r="Y44" s="758"/>
      <c r="Z44" s="758"/>
      <c r="AA44" s="758"/>
      <c r="AB44" s="758"/>
      <c r="AC44" s="758"/>
      <c r="AD44" s="758"/>
      <c r="AE44" s="758"/>
      <c r="AF44" s="758"/>
      <c r="AG44" s="758"/>
      <c r="AH44" s="758"/>
      <c r="AI44" s="758"/>
      <c r="AJ44" s="759"/>
    </row>
    <row r="45" spans="1:36" ht="39" customHeight="1" hidden="1">
      <c r="A45" s="23" t="str">
        <f>'7.1'!A44</f>
        <v>1.1.10</v>
      </c>
      <c r="B45" s="489" t="s">
        <v>352</v>
      </c>
      <c r="C45" s="607"/>
      <c r="D45" s="606"/>
      <c r="E45" s="606"/>
      <c r="F45" s="606"/>
      <c r="G45" s="606"/>
      <c r="H45" s="758"/>
      <c r="I45" s="758"/>
      <c r="J45" s="758"/>
      <c r="K45" s="758"/>
      <c r="L45" s="758"/>
      <c r="M45" s="758"/>
      <c r="N45" s="758"/>
      <c r="O45" s="758"/>
      <c r="P45" s="758"/>
      <c r="Q45" s="758"/>
      <c r="R45" s="758"/>
      <c r="S45" s="758"/>
      <c r="T45" s="758"/>
      <c r="U45" s="758"/>
      <c r="V45" s="758"/>
      <c r="W45" s="758"/>
      <c r="X45" s="758"/>
      <c r="Y45" s="758"/>
      <c r="Z45" s="758"/>
      <c r="AA45" s="758"/>
      <c r="AB45" s="758"/>
      <c r="AC45" s="758"/>
      <c r="AD45" s="758"/>
      <c r="AE45" s="758"/>
      <c r="AF45" s="758"/>
      <c r="AG45" s="758"/>
      <c r="AH45" s="758"/>
      <c r="AI45" s="758"/>
      <c r="AJ45" s="759"/>
    </row>
    <row r="46" spans="1:36" ht="49.5" customHeight="1" hidden="1">
      <c r="A46" s="23" t="str">
        <f>'7.1'!A45</f>
        <v>1.1.11</v>
      </c>
      <c r="B46" s="489" t="s">
        <v>353</v>
      </c>
      <c r="C46" s="607"/>
      <c r="D46" s="606"/>
      <c r="E46" s="606"/>
      <c r="F46" s="606"/>
      <c r="G46" s="606"/>
      <c r="H46" s="758"/>
      <c r="I46" s="758"/>
      <c r="J46" s="758"/>
      <c r="K46" s="758"/>
      <c r="L46" s="758"/>
      <c r="M46" s="758"/>
      <c r="N46" s="758"/>
      <c r="O46" s="758"/>
      <c r="P46" s="758"/>
      <c r="Q46" s="758"/>
      <c r="R46" s="758"/>
      <c r="S46" s="758"/>
      <c r="T46" s="758"/>
      <c r="U46" s="758"/>
      <c r="V46" s="758"/>
      <c r="W46" s="758"/>
      <c r="X46" s="758"/>
      <c r="Y46" s="758"/>
      <c r="Z46" s="758"/>
      <c r="AA46" s="758"/>
      <c r="AB46" s="758"/>
      <c r="AC46" s="758"/>
      <c r="AD46" s="758"/>
      <c r="AE46" s="758"/>
      <c r="AF46" s="758"/>
      <c r="AG46" s="758"/>
      <c r="AH46" s="758"/>
      <c r="AI46" s="758"/>
      <c r="AJ46" s="759"/>
    </row>
    <row r="47" spans="1:36" ht="20.25" customHeight="1" hidden="1">
      <c r="A47" s="23" t="str">
        <f>'7.1'!A46</f>
        <v>1.1.12</v>
      </c>
      <c r="B47" s="489" t="s">
        <v>288</v>
      </c>
      <c r="C47" s="607"/>
      <c r="D47" s="608"/>
      <c r="E47" s="608"/>
      <c r="F47" s="608"/>
      <c r="G47" s="608"/>
      <c r="H47" s="758"/>
      <c r="I47" s="758"/>
      <c r="J47" s="758"/>
      <c r="K47" s="758"/>
      <c r="L47" s="758"/>
      <c r="M47" s="758"/>
      <c r="N47" s="758"/>
      <c r="O47" s="758"/>
      <c r="P47" s="758"/>
      <c r="Q47" s="758"/>
      <c r="R47" s="758"/>
      <c r="S47" s="758"/>
      <c r="T47" s="758"/>
      <c r="U47" s="758"/>
      <c r="V47" s="758"/>
      <c r="W47" s="758"/>
      <c r="X47" s="758"/>
      <c r="Y47" s="758"/>
      <c r="Z47" s="758"/>
      <c r="AA47" s="758"/>
      <c r="AB47" s="758"/>
      <c r="AC47" s="758"/>
      <c r="AD47" s="758"/>
      <c r="AE47" s="758"/>
      <c r="AF47" s="758"/>
      <c r="AG47" s="758"/>
      <c r="AH47" s="758"/>
      <c r="AI47" s="758"/>
      <c r="AJ47" s="759"/>
    </row>
    <row r="48" spans="1:36" ht="39.75" customHeight="1" hidden="1">
      <c r="A48" s="23" t="str">
        <f>'7.1'!A47</f>
        <v>1.1.13</v>
      </c>
      <c r="B48" s="489" t="s">
        <v>351</v>
      </c>
      <c r="C48" s="607"/>
      <c r="D48" s="608"/>
      <c r="E48" s="608"/>
      <c r="F48" s="608"/>
      <c r="G48" s="608"/>
      <c r="H48" s="758"/>
      <c r="I48" s="758"/>
      <c r="J48" s="758"/>
      <c r="K48" s="758"/>
      <c r="L48" s="758"/>
      <c r="M48" s="758"/>
      <c r="N48" s="758"/>
      <c r="O48" s="758"/>
      <c r="P48" s="758"/>
      <c r="Q48" s="758"/>
      <c r="R48" s="758"/>
      <c r="S48" s="758"/>
      <c r="T48" s="758"/>
      <c r="U48" s="758"/>
      <c r="V48" s="758"/>
      <c r="W48" s="758"/>
      <c r="X48" s="758"/>
      <c r="Y48" s="758"/>
      <c r="Z48" s="758"/>
      <c r="AA48" s="758"/>
      <c r="AB48" s="758"/>
      <c r="AC48" s="758"/>
      <c r="AD48" s="758"/>
      <c r="AE48" s="758"/>
      <c r="AF48" s="758"/>
      <c r="AG48" s="758"/>
      <c r="AH48" s="758"/>
      <c r="AI48" s="758"/>
      <c r="AJ48" s="759"/>
    </row>
    <row r="49" spans="1:36" ht="18.75" customHeight="1" hidden="1">
      <c r="A49" s="23" t="str">
        <f>'7.1'!A48</f>
        <v>1.1.14</v>
      </c>
      <c r="B49" s="499" t="s">
        <v>43</v>
      </c>
      <c r="C49" s="607"/>
      <c r="D49" s="606"/>
      <c r="E49" s="606"/>
      <c r="F49" s="606"/>
      <c r="G49" s="606"/>
      <c r="H49" s="758"/>
      <c r="I49" s="758"/>
      <c r="J49" s="758"/>
      <c r="K49" s="758"/>
      <c r="L49" s="758"/>
      <c r="M49" s="758"/>
      <c r="N49" s="758"/>
      <c r="O49" s="758"/>
      <c r="P49" s="758"/>
      <c r="Q49" s="758"/>
      <c r="R49" s="758"/>
      <c r="S49" s="758"/>
      <c r="T49" s="758"/>
      <c r="U49" s="758"/>
      <c r="V49" s="758"/>
      <c r="W49" s="758"/>
      <c r="X49" s="758"/>
      <c r="Y49" s="758"/>
      <c r="Z49" s="758"/>
      <c r="AA49" s="758"/>
      <c r="AB49" s="758"/>
      <c r="AC49" s="758"/>
      <c r="AD49" s="758"/>
      <c r="AE49" s="758"/>
      <c r="AF49" s="758"/>
      <c r="AG49" s="758"/>
      <c r="AH49" s="758"/>
      <c r="AI49" s="758"/>
      <c r="AJ49" s="759"/>
    </row>
    <row r="50" spans="1:36" ht="15.75" customHeight="1">
      <c r="A50" s="981" t="s">
        <v>329</v>
      </c>
      <c r="B50" s="982"/>
      <c r="C50" s="760"/>
      <c r="D50" s="606"/>
      <c r="E50" s="606"/>
      <c r="F50" s="606"/>
      <c r="G50" s="606"/>
      <c r="H50" s="758"/>
      <c r="I50" s="758"/>
      <c r="J50" s="758"/>
      <c r="K50" s="758"/>
      <c r="L50" s="758"/>
      <c r="M50" s="758"/>
      <c r="N50" s="758"/>
      <c r="O50" s="758"/>
      <c r="P50" s="758"/>
      <c r="Q50" s="758"/>
      <c r="R50" s="758"/>
      <c r="S50" s="758"/>
      <c r="T50" s="758"/>
      <c r="U50" s="758"/>
      <c r="V50" s="758"/>
      <c r="W50" s="758"/>
      <c r="X50" s="758"/>
      <c r="Y50" s="758"/>
      <c r="Z50" s="758"/>
      <c r="AA50" s="758"/>
      <c r="AB50" s="758"/>
      <c r="AC50" s="758"/>
      <c r="AD50" s="758"/>
      <c r="AE50" s="758"/>
      <c r="AF50" s="758"/>
      <c r="AG50" s="758"/>
      <c r="AH50" s="758"/>
      <c r="AI50" s="758"/>
      <c r="AJ50" s="759"/>
    </row>
    <row r="51" spans="1:36" ht="36" customHeight="1">
      <c r="A51" s="498"/>
      <c r="B51" s="489" t="s">
        <v>350</v>
      </c>
      <c r="C51" s="608"/>
      <c r="D51" s="606"/>
      <c r="E51" s="606"/>
      <c r="F51" s="606"/>
      <c r="G51" s="606"/>
      <c r="H51" s="758"/>
      <c r="I51" s="758"/>
      <c r="J51" s="758"/>
      <c r="K51" s="758"/>
      <c r="L51" s="758"/>
      <c r="M51" s="758"/>
      <c r="N51" s="758"/>
      <c r="O51" s="758"/>
      <c r="P51" s="758"/>
      <c r="Q51" s="758"/>
      <c r="R51" s="758"/>
      <c r="S51" s="758"/>
      <c r="T51" s="758"/>
      <c r="U51" s="758"/>
      <c r="V51" s="758"/>
      <c r="W51" s="758"/>
      <c r="X51" s="758"/>
      <c r="Y51" s="758"/>
      <c r="Z51" s="758"/>
      <c r="AA51" s="758"/>
      <c r="AB51" s="758"/>
      <c r="AC51" s="758"/>
      <c r="AD51" s="758"/>
      <c r="AE51" s="758"/>
      <c r="AF51" s="758"/>
      <c r="AG51" s="758"/>
      <c r="AH51" s="758"/>
      <c r="AI51" s="758"/>
      <c r="AJ51" s="759"/>
    </row>
    <row r="52" spans="1:36" ht="16.5" thickBot="1">
      <c r="A52" s="500" t="s">
        <v>277</v>
      </c>
      <c r="B52" s="501"/>
      <c r="C52" s="611"/>
      <c r="D52" s="611"/>
      <c r="E52" s="611"/>
      <c r="F52" s="611"/>
      <c r="G52" s="611"/>
      <c r="H52" s="761"/>
      <c r="I52" s="761"/>
      <c r="J52" s="761"/>
      <c r="K52" s="761"/>
      <c r="L52" s="761"/>
      <c r="M52" s="761"/>
      <c r="N52" s="761"/>
      <c r="O52" s="761"/>
      <c r="P52" s="761"/>
      <c r="Q52" s="761"/>
      <c r="R52" s="761"/>
      <c r="S52" s="761"/>
      <c r="T52" s="761"/>
      <c r="U52" s="761"/>
      <c r="V52" s="761"/>
      <c r="W52" s="761"/>
      <c r="X52" s="761"/>
      <c r="Y52" s="761"/>
      <c r="Z52" s="761"/>
      <c r="AA52" s="761"/>
      <c r="AB52" s="761"/>
      <c r="AC52" s="761"/>
      <c r="AD52" s="761"/>
      <c r="AE52" s="761"/>
      <c r="AF52" s="761"/>
      <c r="AG52" s="761"/>
      <c r="AH52" s="761"/>
      <c r="AI52" s="761"/>
      <c r="AJ52" s="762"/>
    </row>
    <row r="53" spans="1:7" ht="15.75">
      <c r="A53" s="24"/>
      <c r="B53" s="10"/>
      <c r="C53" s="763"/>
      <c r="D53" s="763"/>
      <c r="E53" s="359"/>
      <c r="F53" s="359"/>
      <c r="G53" s="359"/>
    </row>
    <row r="54" spans="1:21" ht="15.75">
      <c r="A54" s="17"/>
      <c r="B54" s="909" t="s">
        <v>129</v>
      </c>
      <c r="C54" s="909"/>
      <c r="D54" s="909"/>
      <c r="E54" s="909"/>
      <c r="F54" s="909"/>
      <c r="G54" s="909"/>
      <c r="H54" s="909"/>
      <c r="I54" s="909"/>
      <c r="J54" s="909"/>
      <c r="K54" s="909"/>
      <c r="L54" s="909"/>
      <c r="M54" s="909"/>
      <c r="N54" s="909"/>
      <c r="O54" s="909"/>
      <c r="P54" s="909"/>
      <c r="Q54" s="909"/>
      <c r="R54" s="909"/>
      <c r="S54" s="909"/>
      <c r="T54" s="909"/>
      <c r="U54" s="909"/>
    </row>
    <row r="55" spans="1:21" ht="15.75">
      <c r="A55" s="17"/>
      <c r="B55" s="1" t="s">
        <v>130</v>
      </c>
      <c r="E55" s="129"/>
      <c r="F55" s="129"/>
      <c r="G55" s="129"/>
      <c r="S55" s="378"/>
      <c r="T55" s="378"/>
      <c r="U55" s="378"/>
    </row>
    <row r="56" spans="2:7" ht="15.75">
      <c r="B56" s="83"/>
      <c r="C56" s="764"/>
      <c r="D56" s="764"/>
      <c r="E56" s="764"/>
      <c r="F56" s="764"/>
      <c r="G56" s="764"/>
    </row>
    <row r="57" spans="1:24" ht="15.75" customHeight="1">
      <c r="A57" s="17"/>
      <c r="B57" s="286"/>
      <c r="C57" s="764"/>
      <c r="D57" s="764"/>
      <c r="E57" s="764"/>
      <c r="F57" s="764"/>
      <c r="G57" s="764"/>
      <c r="H57" s="764"/>
      <c r="J57" s="764"/>
      <c r="K57" s="129" t="s">
        <v>583</v>
      </c>
      <c r="X57" s="129" t="s">
        <v>584</v>
      </c>
    </row>
    <row r="58" spans="1:7" ht="15.75" customHeight="1">
      <c r="A58" s="17"/>
      <c r="B58" s="909"/>
      <c r="C58" s="909"/>
      <c r="D58" s="909"/>
      <c r="E58" s="909"/>
      <c r="F58" s="909"/>
      <c r="G58" s="909"/>
    </row>
    <row r="59" spans="1:3" ht="15.75">
      <c r="A59" s="17"/>
      <c r="C59" s="770"/>
    </row>
    <row r="60" spans="1:3" ht="15.75">
      <c r="A60" s="17"/>
      <c r="C60" s="769"/>
    </row>
    <row r="61" spans="3:36" s="881" customFormat="1" ht="33.75" customHeight="1">
      <c r="C61" s="892">
        <f>C18-'7.1'!L17</f>
        <v>-4.6518935974404485E-06</v>
      </c>
      <c r="D61" s="893"/>
      <c r="E61" s="893"/>
      <c r="F61" s="893"/>
      <c r="G61" s="893"/>
      <c r="H61" s="894">
        <f>H18-'7.1'!M17</f>
        <v>0</v>
      </c>
      <c r="I61" s="884"/>
      <c r="J61" s="884"/>
      <c r="K61" s="884"/>
      <c r="L61" s="884"/>
      <c r="M61" s="884"/>
      <c r="N61" s="891">
        <f>H18-C18</f>
        <v>-15.843044718409553</v>
      </c>
      <c r="O61" s="884"/>
      <c r="P61" s="884"/>
      <c r="Q61" s="884"/>
      <c r="R61" s="811" t="b">
        <f>R18='7.1'!O17</f>
        <v>1</v>
      </c>
      <c r="S61" s="884"/>
      <c r="T61" s="884"/>
      <c r="U61" s="884"/>
      <c r="V61" s="884"/>
      <c r="W61" s="884"/>
      <c r="X61" s="884"/>
      <c r="Y61" s="884"/>
      <c r="Z61" s="884"/>
      <c r="AA61" s="884"/>
      <c r="AB61" s="884"/>
      <c r="AC61" s="884"/>
      <c r="AD61" s="884"/>
      <c r="AE61" s="884"/>
      <c r="AF61" s="884"/>
      <c r="AG61" s="884"/>
      <c r="AH61" s="884"/>
      <c r="AI61" s="884"/>
      <c r="AJ61" s="884"/>
    </row>
    <row r="62" spans="1:14" ht="15.75">
      <c r="A62" s="14"/>
      <c r="C62" s="769"/>
      <c r="N62" s="895">
        <f>M18-N61</f>
        <v>0</v>
      </c>
    </row>
    <row r="63" ht="15.75">
      <c r="C63" s="769"/>
    </row>
    <row r="64" ht="15.75">
      <c r="C64" s="769"/>
    </row>
    <row r="65" ht="15.75">
      <c r="C65" s="769"/>
    </row>
    <row r="66" ht="15.75">
      <c r="C66" s="769"/>
    </row>
    <row r="67" ht="15.75">
      <c r="C67" s="769"/>
    </row>
    <row r="68" ht="15.75">
      <c r="C68" s="769"/>
    </row>
    <row r="69" ht="15.75">
      <c r="C69" s="769"/>
    </row>
    <row r="70" ht="15.75">
      <c r="C70" s="769"/>
    </row>
    <row r="71" ht="15.75">
      <c r="C71" s="769"/>
    </row>
    <row r="72" ht="15.75">
      <c r="C72" s="769"/>
    </row>
    <row r="73" ht="15.75">
      <c r="C73" s="769"/>
    </row>
    <row r="74" ht="15.75">
      <c r="C74" s="769"/>
    </row>
    <row r="75" ht="15.75">
      <c r="C75" s="769"/>
    </row>
    <row r="76" ht="15.75">
      <c r="C76" s="769"/>
    </row>
    <row r="77" ht="15.75">
      <c r="C77" s="769"/>
    </row>
    <row r="78" ht="15.75">
      <c r="C78" s="769"/>
    </row>
    <row r="79" ht="15.75">
      <c r="C79" s="769"/>
    </row>
    <row r="80" ht="15.75">
      <c r="C80" s="769"/>
    </row>
    <row r="81" ht="15.75">
      <c r="C81" s="769"/>
    </row>
    <row r="82" ht="15.75">
      <c r="C82" s="769"/>
    </row>
    <row r="83" ht="15.75">
      <c r="C83" s="769"/>
    </row>
    <row r="84" ht="15.75">
      <c r="C84" s="769"/>
    </row>
    <row r="85" ht="15.75">
      <c r="C85" s="769"/>
    </row>
    <row r="86" ht="15.75">
      <c r="C86" s="769"/>
    </row>
    <row r="87" ht="15.75">
      <c r="C87" s="769"/>
    </row>
    <row r="88" ht="15.75">
      <c r="C88" s="769"/>
    </row>
    <row r="89" ht="15.75">
      <c r="C89" s="769"/>
    </row>
    <row r="90" ht="15.75">
      <c r="C90" s="769"/>
    </row>
    <row r="91" ht="15.75">
      <c r="C91" s="769"/>
    </row>
    <row r="92" ht="15.75">
      <c r="C92" s="769"/>
    </row>
    <row r="93" ht="15.75">
      <c r="C93" s="769"/>
    </row>
    <row r="94" ht="15.75">
      <c r="C94" s="769"/>
    </row>
    <row r="95" ht="15.75">
      <c r="C95" s="769"/>
    </row>
    <row r="96" ht="15.75">
      <c r="C96" s="769"/>
    </row>
    <row r="97" ht="15.75">
      <c r="C97" s="769"/>
    </row>
  </sheetData>
  <sheetProtection/>
  <mergeCells count="16">
    <mergeCell ref="A12:AJ12"/>
    <mergeCell ref="B54:U54"/>
    <mergeCell ref="AJ16:AJ17"/>
    <mergeCell ref="W15:AJ15"/>
    <mergeCell ref="W16:Z16"/>
    <mergeCell ref="C15:G16"/>
    <mergeCell ref="H15:L16"/>
    <mergeCell ref="A13:AJ13"/>
    <mergeCell ref="B58:G58"/>
    <mergeCell ref="AA16:AD16"/>
    <mergeCell ref="AE16:AI16"/>
    <mergeCell ref="A50:B50"/>
    <mergeCell ref="M15:Q16"/>
    <mergeCell ref="R15:V16"/>
    <mergeCell ref="A15:A17"/>
    <mergeCell ref="B15:B17"/>
  </mergeCells>
  <printOptions/>
  <pageMargins left="0.2" right="0.2" top="0.75" bottom="0.75" header="0.3" footer="0.3"/>
  <pageSetup fitToHeight="1" fitToWidth="1" horizontalDpi="600" verticalDpi="600" orientation="landscape" paperSize="9" scale="3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90"/>
  <sheetViews>
    <sheetView view="pageBreakPreview" zoomScale="75" zoomScaleNormal="87" zoomScaleSheetLayoutView="75" zoomScalePageLayoutView="0" workbookViewId="0" topLeftCell="A25">
      <selection activeCell="D21" sqref="D21"/>
    </sheetView>
  </sheetViews>
  <sheetFormatPr defaultColWidth="9.00390625" defaultRowHeight="15.75"/>
  <cols>
    <col min="1" max="1" width="9.00390625" style="1" customWidth="1"/>
    <col min="2" max="2" width="34.875" style="1" customWidth="1"/>
    <col min="3" max="3" width="9.00390625" style="1" customWidth="1"/>
    <col min="4" max="4" width="8.125" style="1" customWidth="1"/>
    <col min="5" max="5" width="8.625" style="1" customWidth="1"/>
    <col min="6" max="6" width="7.875" style="1" customWidth="1"/>
    <col min="7" max="7" width="8.125" style="1" customWidth="1"/>
    <col min="8" max="8" width="8.25390625" style="1" customWidth="1"/>
    <col min="9" max="9" width="8.50390625" style="1" customWidth="1"/>
    <col min="10" max="10" width="7.625" style="1" customWidth="1"/>
    <col min="11" max="11" width="8.125" style="1" bestFit="1" customWidth="1"/>
    <col min="12" max="12" width="9.75390625" style="1" customWidth="1"/>
    <col min="13" max="13" width="30.75390625" style="1" customWidth="1"/>
    <col min="14" max="14" width="12.625" style="737" bestFit="1" customWidth="1"/>
    <col min="15" max="15" width="14.125" style="92" customWidth="1"/>
    <col min="16" max="16" width="12.75390625" style="92" bestFit="1" customWidth="1"/>
    <col min="17" max="17" width="9.875" style="92" bestFit="1" customWidth="1"/>
    <col min="18" max="19" width="9.00390625" style="92" customWidth="1"/>
    <col min="20" max="20" width="12.625" style="92" bestFit="1" customWidth="1"/>
    <col min="21" max="21" width="12.625" style="1" bestFit="1" customWidth="1"/>
    <col min="22" max="16384" width="9.00390625" style="1" customWidth="1"/>
  </cols>
  <sheetData>
    <row r="1" ht="15.75">
      <c r="M1" s="143" t="s">
        <v>51</v>
      </c>
    </row>
    <row r="2" ht="15.75">
      <c r="M2" s="143" t="s">
        <v>37</v>
      </c>
    </row>
    <row r="3" ht="15.75">
      <c r="M3" s="289" t="s">
        <v>379</v>
      </c>
    </row>
    <row r="4" ht="15.75">
      <c r="M4" s="2"/>
    </row>
    <row r="5" ht="15.75">
      <c r="M5" s="2" t="s">
        <v>38</v>
      </c>
    </row>
    <row r="6" ht="15.75">
      <c r="M6" s="2" t="s">
        <v>647</v>
      </c>
    </row>
    <row r="7" ht="15.75">
      <c r="M7" s="2"/>
    </row>
    <row r="8" ht="15.75">
      <c r="M8" s="2" t="s">
        <v>648</v>
      </c>
    </row>
    <row r="9" ht="15.75">
      <c r="M9" s="2" t="s">
        <v>795</v>
      </c>
    </row>
    <row r="10" ht="15.75">
      <c r="M10" s="2" t="s">
        <v>42</v>
      </c>
    </row>
    <row r="11" ht="15.75">
      <c r="M11" s="2"/>
    </row>
    <row r="12" ht="15.75">
      <c r="M12" s="2"/>
    </row>
    <row r="13" spans="1:15" ht="31.5" customHeight="1">
      <c r="A13" s="932" t="s">
        <v>157</v>
      </c>
      <c r="B13" s="913"/>
      <c r="C13" s="913"/>
      <c r="D13" s="913"/>
      <c r="E13" s="913"/>
      <c r="F13" s="913"/>
      <c r="G13" s="913"/>
      <c r="H13" s="913"/>
      <c r="I13" s="913"/>
      <c r="J13" s="913"/>
      <c r="K13" s="913"/>
      <c r="L13" s="913"/>
      <c r="M13" s="913"/>
      <c r="N13" s="948"/>
      <c r="O13" s="948"/>
    </row>
    <row r="14" spans="1:15" ht="23.25" customHeight="1">
      <c r="A14" s="953" t="s">
        <v>651</v>
      </c>
      <c r="B14" s="953"/>
      <c r="C14" s="953"/>
      <c r="D14" s="953"/>
      <c r="E14" s="953"/>
      <c r="F14" s="953"/>
      <c r="G14" s="953"/>
      <c r="H14" s="953"/>
      <c r="I14" s="953"/>
      <c r="J14" s="953"/>
      <c r="K14" s="953"/>
      <c r="L14" s="953"/>
      <c r="M14" s="953"/>
      <c r="N14" s="805"/>
      <c r="O14" s="390"/>
    </row>
    <row r="15" spans="1:15" ht="16.5" thickBot="1">
      <c r="A15" s="13"/>
      <c r="M15" s="2"/>
      <c r="N15" s="805"/>
      <c r="O15" s="390"/>
    </row>
    <row r="16" spans="1:13" ht="32.25" customHeight="1">
      <c r="A16" s="914" t="s">
        <v>251</v>
      </c>
      <c r="B16" s="917" t="s">
        <v>252</v>
      </c>
      <c r="C16" s="917" t="s">
        <v>609</v>
      </c>
      <c r="D16" s="917"/>
      <c r="E16" s="917"/>
      <c r="F16" s="917"/>
      <c r="G16" s="917"/>
      <c r="H16" s="917"/>
      <c r="I16" s="917"/>
      <c r="J16" s="917"/>
      <c r="K16" s="917"/>
      <c r="L16" s="917"/>
      <c r="M16" s="925" t="s">
        <v>253</v>
      </c>
    </row>
    <row r="17" spans="1:15" ht="15.75">
      <c r="A17" s="915"/>
      <c r="B17" s="910"/>
      <c r="C17" s="910" t="s">
        <v>254</v>
      </c>
      <c r="D17" s="910"/>
      <c r="E17" s="964" t="s">
        <v>255</v>
      </c>
      <c r="F17" s="964"/>
      <c r="G17" s="964" t="s">
        <v>256</v>
      </c>
      <c r="H17" s="964"/>
      <c r="I17" s="964" t="s">
        <v>257</v>
      </c>
      <c r="J17" s="964"/>
      <c r="K17" s="991" t="s">
        <v>258</v>
      </c>
      <c r="L17" s="991"/>
      <c r="M17" s="926"/>
      <c r="N17" s="806"/>
      <c r="O17" s="391"/>
    </row>
    <row r="18" spans="1:15" ht="16.5" thickBot="1">
      <c r="A18" s="916"/>
      <c r="B18" s="918"/>
      <c r="C18" s="350" t="s">
        <v>343</v>
      </c>
      <c r="D18" s="59" t="s">
        <v>356</v>
      </c>
      <c r="E18" s="350" t="s">
        <v>259</v>
      </c>
      <c r="F18" s="791" t="s">
        <v>260</v>
      </c>
      <c r="G18" s="350" t="s">
        <v>259</v>
      </c>
      <c r="H18" s="791" t="s">
        <v>260</v>
      </c>
      <c r="I18" s="350" t="s">
        <v>259</v>
      </c>
      <c r="J18" s="791" t="s">
        <v>260</v>
      </c>
      <c r="K18" s="350" t="s">
        <v>259</v>
      </c>
      <c r="L18" s="791" t="s">
        <v>260</v>
      </c>
      <c r="M18" s="990"/>
      <c r="O18" s="392"/>
    </row>
    <row r="19" spans="1:21" ht="30" customHeight="1">
      <c r="A19" s="107">
        <v>1</v>
      </c>
      <c r="B19" s="105" t="s">
        <v>262</v>
      </c>
      <c r="C19" s="604">
        <f>C20+C27+C32</f>
        <v>115.41929383402699</v>
      </c>
      <c r="D19" s="604">
        <f aca="true" t="shared" si="0" ref="D19:L19">D20+D27+D32</f>
        <v>115.29146012121679</v>
      </c>
      <c r="E19" s="604">
        <f t="shared" si="0"/>
        <v>19.03409285728965</v>
      </c>
      <c r="F19" s="792">
        <f t="shared" si="0"/>
        <v>17.60403537197829</v>
      </c>
      <c r="G19" s="604">
        <f t="shared" si="0"/>
        <v>24.024055604859747</v>
      </c>
      <c r="H19" s="792">
        <f t="shared" si="0"/>
        <v>24.451213588566425</v>
      </c>
      <c r="I19" s="604">
        <f t="shared" si="0"/>
        <v>45.42216445292852</v>
      </c>
      <c r="J19" s="792">
        <f t="shared" si="0"/>
        <v>48.530530176864886</v>
      </c>
      <c r="K19" s="604">
        <f t="shared" si="0"/>
        <v>26.938980918949042</v>
      </c>
      <c r="L19" s="792">
        <f t="shared" si="0"/>
        <v>24.705680983807188</v>
      </c>
      <c r="M19" s="605"/>
      <c r="N19" s="344">
        <f>E19+G19+I19-D19-K19</f>
        <v>-53.75012812508791</v>
      </c>
      <c r="O19" s="388" t="b">
        <f>C19=(E19+G19+I19+K19)</f>
        <v>1</v>
      </c>
      <c r="P19" s="388" t="b">
        <f>D19=(F19+H19+J19+L19)</f>
        <v>1</v>
      </c>
      <c r="Q19" s="388"/>
      <c r="R19" s="395"/>
      <c r="S19" s="394"/>
      <c r="T19" s="393"/>
      <c r="U19" s="345"/>
    </row>
    <row r="20" spans="1:21" ht="31.5">
      <c r="A20" s="91" t="s">
        <v>238</v>
      </c>
      <c r="B20" s="3" t="s">
        <v>263</v>
      </c>
      <c r="C20" s="606">
        <f>C21+C22+C23+C26</f>
        <v>54.67422628813547</v>
      </c>
      <c r="D20" s="606">
        <f aca="true" t="shared" si="1" ref="D20:L20">D21+D22+D23+D26</f>
        <v>54.67422628813546</v>
      </c>
      <c r="E20" s="606">
        <f t="shared" si="1"/>
        <v>7.85132631660169</v>
      </c>
      <c r="F20" s="771">
        <f t="shared" si="1"/>
        <v>7.85132631660169</v>
      </c>
      <c r="G20" s="607">
        <f t="shared" si="1"/>
        <v>9.909623821641702</v>
      </c>
      <c r="H20" s="771">
        <f t="shared" si="1"/>
        <v>9.909623821641702</v>
      </c>
      <c r="I20" s="607">
        <f t="shared" si="1"/>
        <v>20.168434316255556</v>
      </c>
      <c r="J20" s="771">
        <f t="shared" si="1"/>
        <v>20.168434316255556</v>
      </c>
      <c r="K20" s="607">
        <f t="shared" si="1"/>
        <v>16.74484183363651</v>
      </c>
      <c r="L20" s="771">
        <f t="shared" si="1"/>
        <v>16.74484183363651</v>
      </c>
      <c r="M20" s="605"/>
      <c r="N20" s="344">
        <f aca="true" t="shared" si="2" ref="N20:N44">E20+G20+I20-D20</f>
        <v>-16.744841833636514</v>
      </c>
      <c r="O20" s="388" t="b">
        <f aca="true" t="shared" si="3" ref="O20:O45">C20=(E20+G20+I20+K20)</f>
        <v>1</v>
      </c>
      <c r="P20" s="804">
        <f>D20-(F20+H20+J20+L20)</f>
        <v>0</v>
      </c>
      <c r="Q20" s="394"/>
      <c r="R20" s="395"/>
      <c r="S20" s="394"/>
      <c r="T20" s="393"/>
      <c r="U20" s="345"/>
    </row>
    <row r="21" spans="1:21" ht="31.5">
      <c r="A21" s="91" t="s">
        <v>264</v>
      </c>
      <c r="B21" s="3" t="s">
        <v>286</v>
      </c>
      <c r="C21" s="606">
        <v>45.96522628813547</v>
      </c>
      <c r="D21" s="606">
        <f>F21+H21+J21+L21</f>
        <v>45.96522628813546</v>
      </c>
      <c r="E21" s="606">
        <f>C69+C71</f>
        <v>6.179879913822734</v>
      </c>
      <c r="F21" s="771">
        <f>E21</f>
        <v>6.179879913822734</v>
      </c>
      <c r="G21" s="607">
        <f>F69+F71</f>
        <v>7.799992350261863</v>
      </c>
      <c r="H21" s="771">
        <f>G21</f>
        <v>7.799992350261863</v>
      </c>
      <c r="I21" s="607">
        <f>I69+I71</f>
        <v>16.46893369942537</v>
      </c>
      <c r="J21" s="771">
        <f>I21</f>
        <v>16.46893369942537</v>
      </c>
      <c r="K21" s="607">
        <f>K69+K71</f>
        <v>15.516420324625495</v>
      </c>
      <c r="L21" s="771">
        <f>K21</f>
        <v>15.516420324625495</v>
      </c>
      <c r="M21" s="605"/>
      <c r="N21" s="344">
        <f t="shared" si="2"/>
        <v>-15.516420324625493</v>
      </c>
      <c r="O21" s="388" t="b">
        <f t="shared" si="3"/>
        <v>1</v>
      </c>
      <c r="P21" s="388" t="b">
        <f aca="true" t="shared" si="4" ref="P21:P45">D21=(F21+H21+J21+L21)</f>
        <v>1</v>
      </c>
      <c r="Q21" s="394"/>
      <c r="R21" s="395"/>
      <c r="S21" s="395"/>
      <c r="T21" s="393"/>
      <c r="U21" s="345"/>
    </row>
    <row r="22" spans="1:21" ht="15.75">
      <c r="A22" s="91" t="s">
        <v>280</v>
      </c>
      <c r="B22" s="3" t="s">
        <v>287</v>
      </c>
      <c r="C22" s="606"/>
      <c r="D22" s="606"/>
      <c r="E22" s="606"/>
      <c r="F22" s="771"/>
      <c r="G22" s="607"/>
      <c r="H22" s="771"/>
      <c r="I22" s="607"/>
      <c r="J22" s="771"/>
      <c r="K22" s="607"/>
      <c r="L22" s="771"/>
      <c r="M22" s="605"/>
      <c r="N22" s="344">
        <f t="shared" si="2"/>
        <v>0</v>
      </c>
      <c r="O22" s="388" t="b">
        <f t="shared" si="3"/>
        <v>1</v>
      </c>
      <c r="P22" s="388" t="b">
        <f t="shared" si="4"/>
        <v>1</v>
      </c>
      <c r="T22" s="393"/>
      <c r="U22" s="345"/>
    </row>
    <row r="23" spans="1:21" ht="47.25">
      <c r="A23" s="91" t="s">
        <v>283</v>
      </c>
      <c r="B23" s="3" t="s">
        <v>335</v>
      </c>
      <c r="C23" s="608"/>
      <c r="D23" s="608"/>
      <c r="E23" s="608"/>
      <c r="F23" s="793"/>
      <c r="G23" s="752"/>
      <c r="H23" s="793"/>
      <c r="I23" s="752"/>
      <c r="J23" s="793"/>
      <c r="K23" s="607"/>
      <c r="L23" s="771"/>
      <c r="M23" s="605"/>
      <c r="N23" s="344">
        <f t="shared" si="2"/>
        <v>0</v>
      </c>
      <c r="O23" s="388" t="b">
        <f t="shared" si="3"/>
        <v>1</v>
      </c>
      <c r="P23" s="388" t="b">
        <f t="shared" si="4"/>
        <v>1</v>
      </c>
      <c r="T23" s="393"/>
      <c r="U23" s="345"/>
    </row>
    <row r="24" spans="1:21" ht="31.5">
      <c r="A24" s="91" t="s">
        <v>284</v>
      </c>
      <c r="B24" s="3" t="s">
        <v>336</v>
      </c>
      <c r="C24" s="608"/>
      <c r="D24" s="608"/>
      <c r="E24" s="608"/>
      <c r="F24" s="793"/>
      <c r="G24" s="752"/>
      <c r="H24" s="793"/>
      <c r="I24" s="752"/>
      <c r="J24" s="793"/>
      <c r="K24" s="607"/>
      <c r="L24" s="771"/>
      <c r="M24" s="609"/>
      <c r="N24" s="344">
        <f t="shared" si="2"/>
        <v>0</v>
      </c>
      <c r="O24" s="388" t="b">
        <f t="shared" si="3"/>
        <v>1</v>
      </c>
      <c r="P24" s="388" t="b">
        <f t="shared" si="4"/>
        <v>1</v>
      </c>
      <c r="T24" s="393"/>
      <c r="U24" s="345"/>
    </row>
    <row r="25" spans="1:21" ht="31.5">
      <c r="A25" s="91" t="s">
        <v>285</v>
      </c>
      <c r="B25" s="3" t="s">
        <v>337</v>
      </c>
      <c r="C25" s="606"/>
      <c r="D25" s="606"/>
      <c r="E25" s="606"/>
      <c r="F25" s="771"/>
      <c r="G25" s="607"/>
      <c r="H25" s="771"/>
      <c r="I25" s="607"/>
      <c r="J25" s="771"/>
      <c r="K25" s="607"/>
      <c r="L25" s="771"/>
      <c r="M25" s="609"/>
      <c r="N25" s="344">
        <f t="shared" si="2"/>
        <v>0</v>
      </c>
      <c r="O25" s="388" t="b">
        <f t="shared" si="3"/>
        <v>1</v>
      </c>
      <c r="P25" s="388" t="b">
        <f t="shared" si="4"/>
        <v>1</v>
      </c>
      <c r="T25" s="393"/>
      <c r="U25" s="345"/>
    </row>
    <row r="26" spans="1:21" ht="15.75">
      <c r="A26" s="91" t="s">
        <v>71</v>
      </c>
      <c r="B26" s="3" t="s">
        <v>56</v>
      </c>
      <c r="C26" s="606">
        <v>8.709</v>
      </c>
      <c r="D26" s="604">
        <f>F26+H26+J26+L26</f>
        <v>8.709</v>
      </c>
      <c r="E26" s="606">
        <f>C57*$C$26/$M$57</f>
        <v>1.6714464027789564</v>
      </c>
      <c r="F26" s="771">
        <f>E26</f>
        <v>1.6714464027789564</v>
      </c>
      <c r="G26" s="606">
        <f>F57*$C$26/$M$57</f>
        <v>2.1096314713798394</v>
      </c>
      <c r="H26" s="771">
        <f>G26</f>
        <v>2.1096314713798394</v>
      </c>
      <c r="I26" s="606">
        <f>I57*$C$26/$M$57</f>
        <v>3.6995006168301874</v>
      </c>
      <c r="J26" s="771">
        <f>I26</f>
        <v>3.6995006168301874</v>
      </c>
      <c r="K26" s="606">
        <f>K57*$C$26/$M$57</f>
        <v>1.2284215090110167</v>
      </c>
      <c r="L26" s="771">
        <f>K26</f>
        <v>1.2284215090110167</v>
      </c>
      <c r="M26" s="609"/>
      <c r="N26" s="344">
        <f t="shared" si="2"/>
        <v>-1.2284215090110164</v>
      </c>
      <c r="O26" s="388" t="b">
        <f t="shared" si="3"/>
        <v>1</v>
      </c>
      <c r="P26" s="388" t="b">
        <f t="shared" si="4"/>
        <v>1</v>
      </c>
      <c r="Q26" s="394"/>
      <c r="R26" s="395"/>
      <c r="S26" s="395"/>
      <c r="T26" s="393"/>
      <c r="U26" s="345"/>
    </row>
    <row r="27" spans="1:21" ht="15.75">
      <c r="A27" s="538" t="s">
        <v>239</v>
      </c>
      <c r="B27" s="368" t="s">
        <v>265</v>
      </c>
      <c r="C27" s="606">
        <f>C28+C29+C30+C31</f>
        <v>48.09883072928134</v>
      </c>
      <c r="D27" s="604">
        <f>D28+D29+D30+D31</f>
        <v>48.09883072928134</v>
      </c>
      <c r="E27" s="606">
        <f>E28+E29+E30+E31</f>
        <v>9.2312111149766</v>
      </c>
      <c r="F27" s="771">
        <f aca="true" t="shared" si="5" ref="F27:L27">F28+F29+F30+F31</f>
        <v>9.2312111149766</v>
      </c>
      <c r="G27" s="607">
        <f t="shared" si="5"/>
        <v>11.651258128724724</v>
      </c>
      <c r="H27" s="771">
        <f t="shared" si="5"/>
        <v>11.651258128724724</v>
      </c>
      <c r="I27" s="607">
        <f t="shared" si="5"/>
        <v>20.431927196209333</v>
      </c>
      <c r="J27" s="771">
        <f t="shared" si="5"/>
        <v>20.431927196209333</v>
      </c>
      <c r="K27" s="607">
        <f t="shared" si="5"/>
        <v>6.784434289370679</v>
      </c>
      <c r="L27" s="771">
        <f t="shared" si="5"/>
        <v>6.784434289370679</v>
      </c>
      <c r="M27" s="609"/>
      <c r="N27" s="344">
        <f t="shared" si="2"/>
        <v>-6.784434289370687</v>
      </c>
      <c r="O27" s="388" t="b">
        <f t="shared" si="3"/>
        <v>1</v>
      </c>
      <c r="P27" s="388" t="b">
        <f t="shared" si="4"/>
        <v>1</v>
      </c>
      <c r="Q27" s="394"/>
      <c r="R27" s="395"/>
      <c r="S27" s="395"/>
      <c r="T27" s="393"/>
      <c r="U27" s="345"/>
    </row>
    <row r="28" spans="1:21" ht="15.75">
      <c r="A28" s="91" t="s">
        <v>57</v>
      </c>
      <c r="B28" s="3" t="s">
        <v>60</v>
      </c>
      <c r="C28" s="606">
        <v>45.64383274057056</v>
      </c>
      <c r="D28" s="604">
        <f>F28+H28+J28+L28</f>
        <v>45.64383274057056</v>
      </c>
      <c r="E28" s="606">
        <f>C62</f>
        <v>8.76004363799185</v>
      </c>
      <c r="F28" s="771">
        <f>C62</f>
        <v>8.76004363799185</v>
      </c>
      <c r="G28" s="607">
        <f>F62</f>
        <v>11.056569758170301</v>
      </c>
      <c r="H28" s="771">
        <f>F62</f>
        <v>11.056569758170301</v>
      </c>
      <c r="I28" s="607">
        <f>I62</f>
        <v>19.389067330145217</v>
      </c>
      <c r="J28" s="771">
        <f>I28</f>
        <v>19.389067330145217</v>
      </c>
      <c r="K28" s="607">
        <f>K62</f>
        <v>6.438152014263192</v>
      </c>
      <c r="L28" s="771">
        <f>K28</f>
        <v>6.438152014263192</v>
      </c>
      <c r="M28" s="609"/>
      <c r="N28" s="344">
        <f t="shared" si="2"/>
        <v>-6.438152014263196</v>
      </c>
      <c r="O28" s="388" t="b">
        <f t="shared" si="3"/>
        <v>1</v>
      </c>
      <c r="P28" s="388" t="b">
        <f t="shared" si="4"/>
        <v>1</v>
      </c>
      <c r="Q28" s="394"/>
      <c r="R28" s="395"/>
      <c r="S28" s="395"/>
      <c r="T28" s="393"/>
      <c r="U28" s="345"/>
    </row>
    <row r="29" spans="1:21" ht="15.75">
      <c r="A29" s="91" t="s">
        <v>58</v>
      </c>
      <c r="B29" s="3" t="s">
        <v>611</v>
      </c>
      <c r="C29" s="606"/>
      <c r="D29" s="604"/>
      <c r="E29" s="606"/>
      <c r="F29" s="771"/>
      <c r="G29" s="607"/>
      <c r="H29" s="771"/>
      <c r="I29" s="607"/>
      <c r="J29" s="771"/>
      <c r="K29" s="607"/>
      <c r="L29" s="771"/>
      <c r="M29" s="609"/>
      <c r="N29" s="344">
        <f t="shared" si="2"/>
        <v>0</v>
      </c>
      <c r="O29" s="388" t="b">
        <f t="shared" si="3"/>
        <v>1</v>
      </c>
      <c r="P29" s="388" t="b">
        <f t="shared" si="4"/>
        <v>1</v>
      </c>
      <c r="Q29" s="394"/>
      <c r="R29" s="395"/>
      <c r="S29" s="395"/>
      <c r="T29" s="393"/>
      <c r="U29" s="345"/>
    </row>
    <row r="30" spans="1:21" ht="15.75">
      <c r="A30" s="91" t="s">
        <v>59</v>
      </c>
      <c r="B30" s="3" t="s">
        <v>61</v>
      </c>
      <c r="C30" s="610"/>
      <c r="D30" s="610"/>
      <c r="E30" s="610"/>
      <c r="F30" s="794"/>
      <c r="G30" s="607"/>
      <c r="H30" s="794"/>
      <c r="I30" s="607"/>
      <c r="J30" s="794"/>
      <c r="K30" s="607"/>
      <c r="L30" s="794"/>
      <c r="M30" s="609"/>
      <c r="N30" s="344">
        <f t="shared" si="2"/>
        <v>0</v>
      </c>
      <c r="O30" s="388" t="b">
        <f t="shared" si="3"/>
        <v>1</v>
      </c>
      <c r="P30" s="388" t="b">
        <f t="shared" si="4"/>
        <v>1</v>
      </c>
      <c r="T30" s="393"/>
      <c r="U30" s="345"/>
    </row>
    <row r="31" spans="1:21" ht="31.5">
      <c r="A31" s="91" t="s">
        <v>59</v>
      </c>
      <c r="B31" s="3" t="s">
        <v>62</v>
      </c>
      <c r="C31" s="607">
        <v>2.4549979887107765</v>
      </c>
      <c r="D31" s="604">
        <f>F31+H31+J31+L31</f>
        <v>2.4549979887107765</v>
      </c>
      <c r="E31" s="606">
        <f>C57*$C$31/$M$57</f>
        <v>0.4711674769847515</v>
      </c>
      <c r="F31" s="771">
        <f>E31</f>
        <v>0.4711674769847515</v>
      </c>
      <c r="G31" s="606">
        <f>F57*$C$31/$M$57</f>
        <v>0.5946883705544221</v>
      </c>
      <c r="H31" s="771">
        <f>G31</f>
        <v>0.5946883705544221</v>
      </c>
      <c r="I31" s="606">
        <f>I57*$C$31/$M$57</f>
        <v>1.0428598660641162</v>
      </c>
      <c r="J31" s="771">
        <f>I31</f>
        <v>1.0428598660641162</v>
      </c>
      <c r="K31" s="606">
        <f>K57*$C$31/$M$57</f>
        <v>0.3462822751074869</v>
      </c>
      <c r="L31" s="771">
        <f>K31</f>
        <v>0.3462822751074869</v>
      </c>
      <c r="M31" s="609"/>
      <c r="N31" s="344">
        <f t="shared" si="2"/>
        <v>-0.346282275107487</v>
      </c>
      <c r="O31" s="388" t="b">
        <f t="shared" si="3"/>
        <v>1</v>
      </c>
      <c r="P31" s="388" t="b">
        <f t="shared" si="4"/>
        <v>1</v>
      </c>
      <c r="T31" s="393"/>
      <c r="U31" s="345"/>
    </row>
    <row r="32" spans="1:21" ht="15.75">
      <c r="A32" s="91" t="s">
        <v>250</v>
      </c>
      <c r="B32" s="3" t="s">
        <v>266</v>
      </c>
      <c r="C32" s="607">
        <v>12.646236816610168</v>
      </c>
      <c r="D32" s="607">
        <f>F32+H32+J32+L32</f>
        <v>12.5184031038</v>
      </c>
      <c r="E32" s="606">
        <f>C76+C78</f>
        <v>1.9515554257113568</v>
      </c>
      <c r="F32" s="771">
        <f>'Возврат НДС'!D21</f>
        <v>0.5214979403999999</v>
      </c>
      <c r="G32" s="607">
        <f>F76+F78</f>
        <v>2.4631736544933216</v>
      </c>
      <c r="H32" s="771">
        <f>'Возврат НДС'!F21</f>
        <v>2.8903316381999997</v>
      </c>
      <c r="I32" s="607">
        <f>I76+I78</f>
        <v>4.821802940463637</v>
      </c>
      <c r="J32" s="771">
        <f>'Возврат НДС'!H21</f>
        <v>7.930168664400002</v>
      </c>
      <c r="K32" s="607">
        <f>K76+K78</f>
        <v>3.409704795941853</v>
      </c>
      <c r="L32" s="771">
        <f>'Возврат НДС'!J21</f>
        <v>1.1764048607999997</v>
      </c>
      <c r="M32" s="609"/>
      <c r="N32" s="344">
        <f t="shared" si="2"/>
        <v>-3.281871083131687</v>
      </c>
      <c r="O32" s="388" t="b">
        <f t="shared" si="3"/>
        <v>1</v>
      </c>
      <c r="P32" s="388" t="b">
        <f t="shared" si="4"/>
        <v>1</v>
      </c>
      <c r="Q32" s="394"/>
      <c r="R32" s="395"/>
      <c r="S32" s="395"/>
      <c r="T32" s="393"/>
      <c r="U32" s="345"/>
    </row>
    <row r="33" spans="1:21" ht="15.75">
      <c r="A33" s="91" t="s">
        <v>267</v>
      </c>
      <c r="B33" s="3" t="s">
        <v>268</v>
      </c>
      <c r="C33" s="607"/>
      <c r="D33" s="607"/>
      <c r="E33" s="607"/>
      <c r="F33" s="771"/>
      <c r="G33" s="607"/>
      <c r="H33" s="796"/>
      <c r="I33" s="607"/>
      <c r="J33" s="796"/>
      <c r="K33" s="607"/>
      <c r="L33" s="794"/>
      <c r="M33" s="609"/>
      <c r="N33" s="344">
        <f t="shared" si="2"/>
        <v>0</v>
      </c>
      <c r="O33" s="388" t="b">
        <f t="shared" si="3"/>
        <v>1</v>
      </c>
      <c r="P33" s="388" t="b">
        <f t="shared" si="4"/>
        <v>1</v>
      </c>
      <c r="T33" s="393"/>
      <c r="U33" s="345"/>
    </row>
    <row r="34" spans="1:21" ht="15.75">
      <c r="A34" s="91" t="s">
        <v>269</v>
      </c>
      <c r="B34" s="3" t="s">
        <v>338</v>
      </c>
      <c r="C34" s="607"/>
      <c r="D34" s="607"/>
      <c r="E34" s="607"/>
      <c r="F34" s="771"/>
      <c r="G34" s="607"/>
      <c r="H34" s="796"/>
      <c r="I34" s="607"/>
      <c r="J34" s="796"/>
      <c r="K34" s="607"/>
      <c r="L34" s="794"/>
      <c r="M34" s="609"/>
      <c r="N34" s="344">
        <f t="shared" si="2"/>
        <v>0</v>
      </c>
      <c r="O34" s="388" t="b">
        <f t="shared" si="3"/>
        <v>1</v>
      </c>
      <c r="P34" s="388" t="b">
        <f t="shared" si="4"/>
        <v>1</v>
      </c>
      <c r="T34" s="393"/>
      <c r="U34" s="345"/>
    </row>
    <row r="35" spans="1:21" ht="32.25" thickBot="1">
      <c r="A35" s="96" t="s">
        <v>1</v>
      </c>
      <c r="B35" s="97" t="s">
        <v>68</v>
      </c>
      <c r="C35" s="611"/>
      <c r="D35" s="611"/>
      <c r="E35" s="611"/>
      <c r="F35" s="795"/>
      <c r="G35" s="611"/>
      <c r="H35" s="801"/>
      <c r="I35" s="611"/>
      <c r="J35" s="801"/>
      <c r="K35" s="611"/>
      <c r="L35" s="897"/>
      <c r="M35" s="612"/>
      <c r="N35" s="344">
        <f t="shared" si="2"/>
        <v>0</v>
      </c>
      <c r="O35" s="388" t="b">
        <f t="shared" si="3"/>
        <v>1</v>
      </c>
      <c r="P35" s="388" t="b">
        <f t="shared" si="4"/>
        <v>1</v>
      </c>
      <c r="T35" s="393"/>
      <c r="U35" s="345"/>
    </row>
    <row r="36" spans="1:21" ht="15.75">
      <c r="A36" s="104" t="s">
        <v>240</v>
      </c>
      <c r="B36" s="105" t="s">
        <v>339</v>
      </c>
      <c r="C36" s="613">
        <f>C37+C38+C39+C40+C41+C42+C43</f>
        <v>16.104016285973003</v>
      </c>
      <c r="D36" s="613">
        <f aca="true" t="shared" si="6" ref="D36:L36">D37+D38+D39+D40+D41+D42+D43</f>
        <v>16.109083365783224</v>
      </c>
      <c r="E36" s="613">
        <f t="shared" si="6"/>
        <v>3.0907107694894145</v>
      </c>
      <c r="F36" s="792">
        <f t="shared" si="6"/>
        <v>36.65382747762171</v>
      </c>
      <c r="G36" s="613">
        <f t="shared" si="6"/>
        <v>3.9009690633255394</v>
      </c>
      <c r="H36" s="802">
        <f t="shared" si="6"/>
        <v>10.04861996143358</v>
      </c>
      <c r="I36" s="613">
        <f t="shared" si="6"/>
        <v>6.840833411803939</v>
      </c>
      <c r="J36" s="802">
        <f t="shared" si="6"/>
        <v>-19.25511767946488</v>
      </c>
      <c r="K36" s="613">
        <f t="shared" si="6"/>
        <v>2.27150304135411</v>
      </c>
      <c r="L36" s="802">
        <f t="shared" si="6"/>
        <v>-11.338246393807188</v>
      </c>
      <c r="M36" s="614"/>
      <c r="N36" s="344">
        <f t="shared" si="2"/>
        <v>-2.2765701211643297</v>
      </c>
      <c r="O36" s="388" t="b">
        <f t="shared" si="3"/>
        <v>1</v>
      </c>
      <c r="P36" s="388" t="b">
        <f t="shared" si="4"/>
        <v>1</v>
      </c>
      <c r="T36" s="393"/>
      <c r="U36" s="345"/>
    </row>
    <row r="37" spans="1:21" ht="15.75">
      <c r="A37" s="91" t="s">
        <v>241</v>
      </c>
      <c r="B37" s="3" t="s">
        <v>344</v>
      </c>
      <c r="C37" s="607">
        <f>'7.1'!D17-C19</f>
        <v>16.104016285973003</v>
      </c>
      <c r="D37" s="604">
        <f>F37+H37+J37+L37</f>
        <v>16.109083365783224</v>
      </c>
      <c r="E37" s="606">
        <f>C57*$C$37/$M$57</f>
        <v>3.0907107694894145</v>
      </c>
      <c r="F37" s="771">
        <f>'7.1'!G17-8!F19-F42</f>
        <v>19.14384890762171</v>
      </c>
      <c r="G37" s="606">
        <f>F57*$C$37/$M$57</f>
        <v>3.9009690633255394</v>
      </c>
      <c r="H37" s="771">
        <f>'7.1'!I17-H19-H42</f>
        <v>11.70041711143358</v>
      </c>
      <c r="I37" s="606">
        <f>I57*$C$37/$M$57</f>
        <v>6.840833411803939</v>
      </c>
      <c r="J37" s="771">
        <f>'7.1'!K17-J19-J42</f>
        <v>-5.14316669946488</v>
      </c>
      <c r="K37" s="606">
        <f>K57*$C$37/$M$57</f>
        <v>2.27150304135411</v>
      </c>
      <c r="L37" s="796">
        <f>'7.1'!M17-L19-L42</f>
        <v>-9.592015953807188</v>
      </c>
      <c r="M37" s="609"/>
      <c r="N37" s="344">
        <f t="shared" si="2"/>
        <v>-2.2765701211643297</v>
      </c>
      <c r="O37" s="388" t="b">
        <f t="shared" si="3"/>
        <v>1</v>
      </c>
      <c r="P37" s="388" t="b">
        <f t="shared" si="4"/>
        <v>1</v>
      </c>
      <c r="Q37" s="394"/>
      <c r="R37" s="395"/>
      <c r="S37" s="395"/>
      <c r="T37" s="393"/>
      <c r="U37" s="345"/>
    </row>
    <row r="38" spans="1:21" ht="15.75">
      <c r="A38" s="91" t="s">
        <v>242</v>
      </c>
      <c r="B38" s="3" t="s">
        <v>340</v>
      </c>
      <c r="C38" s="607"/>
      <c r="D38" s="192"/>
      <c r="E38" s="607"/>
      <c r="F38" s="796"/>
      <c r="G38" s="607"/>
      <c r="H38" s="796"/>
      <c r="I38" s="607"/>
      <c r="J38" s="796"/>
      <c r="K38" s="607"/>
      <c r="L38" s="794"/>
      <c r="M38" s="609"/>
      <c r="N38" s="344">
        <f t="shared" si="2"/>
        <v>0</v>
      </c>
      <c r="O38" s="388" t="b">
        <f t="shared" si="3"/>
        <v>1</v>
      </c>
      <c r="P38" s="388" t="b">
        <f t="shared" si="4"/>
        <v>1</v>
      </c>
      <c r="T38" s="393"/>
      <c r="U38" s="345"/>
    </row>
    <row r="39" spans="1:21" ht="21.75" customHeight="1">
      <c r="A39" s="95" t="s">
        <v>243</v>
      </c>
      <c r="B39" s="3" t="s">
        <v>341</v>
      </c>
      <c r="C39" s="616"/>
      <c r="D39" s="615"/>
      <c r="E39" s="616"/>
      <c r="F39" s="797"/>
      <c r="G39" s="616"/>
      <c r="H39" s="797"/>
      <c r="I39" s="616"/>
      <c r="J39" s="797"/>
      <c r="K39" s="616"/>
      <c r="L39" s="898"/>
      <c r="M39" s="617"/>
      <c r="N39" s="344">
        <f t="shared" si="2"/>
        <v>0</v>
      </c>
      <c r="O39" s="388" t="b">
        <f t="shared" si="3"/>
        <v>1</v>
      </c>
      <c r="P39" s="388" t="b">
        <f t="shared" si="4"/>
        <v>1</v>
      </c>
      <c r="T39" s="393"/>
      <c r="U39" s="345"/>
    </row>
    <row r="40" spans="1:21" ht="15.75">
      <c r="A40" s="95" t="s">
        <v>244</v>
      </c>
      <c r="B40" s="3" t="s">
        <v>270</v>
      </c>
      <c r="C40" s="616"/>
      <c r="D40" s="615"/>
      <c r="E40" s="616"/>
      <c r="F40" s="797"/>
      <c r="G40" s="616"/>
      <c r="H40" s="797"/>
      <c r="I40" s="616"/>
      <c r="J40" s="797"/>
      <c r="K40" s="616"/>
      <c r="L40" s="797"/>
      <c r="M40" s="617"/>
      <c r="N40" s="344">
        <f t="shared" si="2"/>
        <v>0</v>
      </c>
      <c r="O40" s="388" t="b">
        <f t="shared" si="3"/>
        <v>1</v>
      </c>
      <c r="P40" s="388" t="b">
        <f t="shared" si="4"/>
        <v>1</v>
      </c>
      <c r="T40" s="393"/>
      <c r="U40" s="345"/>
    </row>
    <row r="41" spans="1:21" ht="15.75">
      <c r="A41" s="91" t="s">
        <v>289</v>
      </c>
      <c r="B41" s="3" t="s">
        <v>282</v>
      </c>
      <c r="C41" s="616"/>
      <c r="D41" s="615"/>
      <c r="E41" s="616"/>
      <c r="F41" s="797"/>
      <c r="G41" s="616"/>
      <c r="H41" s="797"/>
      <c r="I41" s="616"/>
      <c r="J41" s="797"/>
      <c r="K41" s="616"/>
      <c r="L41" s="797"/>
      <c r="M41" s="617"/>
      <c r="N41" s="344">
        <f t="shared" si="2"/>
        <v>0</v>
      </c>
      <c r="O41" s="388" t="b">
        <f t="shared" si="3"/>
        <v>1</v>
      </c>
      <c r="P41" s="388" t="b">
        <f t="shared" si="4"/>
        <v>1</v>
      </c>
      <c r="T41" s="393"/>
      <c r="U41" s="345"/>
    </row>
    <row r="42" spans="1:21" ht="15.75">
      <c r="A42" s="91" t="s">
        <v>334</v>
      </c>
      <c r="B42" s="3" t="s">
        <v>64</v>
      </c>
      <c r="C42" s="616">
        <f>E42+G42+I42+K42</f>
        <v>0</v>
      </c>
      <c r="D42" s="616">
        <f>F42+H42+J42+L42</f>
        <v>0</v>
      </c>
      <c r="E42" s="616">
        <v>0</v>
      </c>
      <c r="F42" s="797">
        <f>D54-F54</f>
        <v>17.50997857</v>
      </c>
      <c r="G42" s="616">
        <v>0</v>
      </c>
      <c r="H42" s="797">
        <f>-H54</f>
        <v>-1.6517971500000002</v>
      </c>
      <c r="I42" s="616">
        <v>0</v>
      </c>
      <c r="J42" s="797">
        <f>-J54</f>
        <v>-14.111950980000001</v>
      </c>
      <c r="K42" s="616">
        <v>0</v>
      </c>
      <c r="L42" s="797">
        <f>-L54</f>
        <v>-1.7462304400000002</v>
      </c>
      <c r="M42" s="617"/>
      <c r="N42" s="344">
        <f t="shared" si="2"/>
        <v>0</v>
      </c>
      <c r="O42" s="388" t="b">
        <f t="shared" si="3"/>
        <v>1</v>
      </c>
      <c r="P42" s="388" t="b">
        <f t="shared" si="4"/>
        <v>0</v>
      </c>
      <c r="T42" s="393"/>
      <c r="U42" s="345"/>
    </row>
    <row r="43" spans="1:21" ht="16.5" thickBot="1">
      <c r="A43" s="96" t="s">
        <v>63</v>
      </c>
      <c r="B43" s="97" t="s">
        <v>271</v>
      </c>
      <c r="C43" s="619"/>
      <c r="D43" s="618"/>
      <c r="E43" s="619"/>
      <c r="F43" s="798"/>
      <c r="G43" s="619"/>
      <c r="H43" s="798"/>
      <c r="I43" s="619"/>
      <c r="J43" s="798"/>
      <c r="K43" s="619"/>
      <c r="L43" s="798"/>
      <c r="M43" s="620"/>
      <c r="N43" s="344">
        <f t="shared" si="2"/>
        <v>0</v>
      </c>
      <c r="O43" s="388" t="b">
        <f t="shared" si="3"/>
        <v>1</v>
      </c>
      <c r="P43" s="388" t="b">
        <f t="shared" si="4"/>
        <v>1</v>
      </c>
      <c r="T43" s="393"/>
      <c r="U43" s="345"/>
    </row>
    <row r="44" spans="1:21" ht="31.5">
      <c r="A44" s="101"/>
      <c r="B44" s="102" t="s">
        <v>261</v>
      </c>
      <c r="C44" s="622">
        <f>C19+C36</f>
        <v>131.52331012</v>
      </c>
      <c r="D44" s="621">
        <f aca="true" t="shared" si="7" ref="D44:L44">D19+D36</f>
        <v>131.40054348700002</v>
      </c>
      <c r="E44" s="622">
        <f t="shared" si="7"/>
        <v>22.124803626779066</v>
      </c>
      <c r="F44" s="799">
        <f t="shared" si="7"/>
        <v>54.2578628496</v>
      </c>
      <c r="G44" s="623">
        <f t="shared" si="7"/>
        <v>27.925024668185287</v>
      </c>
      <c r="H44" s="803">
        <f t="shared" si="7"/>
        <v>34.499833550000005</v>
      </c>
      <c r="I44" s="623">
        <f t="shared" si="7"/>
        <v>52.26299786473246</v>
      </c>
      <c r="J44" s="803">
        <f t="shared" si="7"/>
        <v>29.275412497400005</v>
      </c>
      <c r="K44" s="623">
        <f t="shared" si="7"/>
        <v>29.21048396030315</v>
      </c>
      <c r="L44" s="803">
        <f t="shared" si="7"/>
        <v>13.36743459</v>
      </c>
      <c r="M44" s="624"/>
      <c r="N44" s="344">
        <f t="shared" si="2"/>
        <v>-29.08771732730321</v>
      </c>
      <c r="O44" s="388" t="b">
        <f t="shared" si="3"/>
        <v>1</v>
      </c>
      <c r="P44" s="388" t="b">
        <f t="shared" si="4"/>
        <v>1</v>
      </c>
      <c r="Q44" s="397"/>
      <c r="R44" s="395"/>
      <c r="S44" s="395"/>
      <c r="T44" s="393"/>
      <c r="U44" s="345"/>
    </row>
    <row r="45" spans="1:21" ht="15.75">
      <c r="A45" s="7"/>
      <c r="B45" s="3" t="s">
        <v>52</v>
      </c>
      <c r="C45" s="616"/>
      <c r="D45" s="615"/>
      <c r="E45" s="616"/>
      <c r="F45" s="797"/>
      <c r="G45" s="616"/>
      <c r="H45" s="797"/>
      <c r="I45" s="616"/>
      <c r="J45" s="797"/>
      <c r="K45" s="616"/>
      <c r="L45" s="797"/>
      <c r="M45" s="617"/>
      <c r="O45" s="388" t="b">
        <f t="shared" si="3"/>
        <v>1</v>
      </c>
      <c r="P45" s="388" t="b">
        <f t="shared" si="4"/>
        <v>1</v>
      </c>
      <c r="T45" s="393"/>
      <c r="U45" s="345"/>
    </row>
    <row r="46" spans="1:21" ht="15.75">
      <c r="A46" s="7"/>
      <c r="B46" s="87" t="s">
        <v>53</v>
      </c>
      <c r="C46" s="616"/>
      <c r="D46" s="615"/>
      <c r="E46" s="616"/>
      <c r="F46" s="797"/>
      <c r="G46" s="616"/>
      <c r="H46" s="797"/>
      <c r="I46" s="616"/>
      <c r="J46" s="797"/>
      <c r="K46" s="616"/>
      <c r="L46" s="797"/>
      <c r="M46" s="617"/>
      <c r="T46" s="393"/>
      <c r="U46" s="345"/>
    </row>
    <row r="47" spans="1:21" ht="16.5" thickBot="1">
      <c r="A47" s="64"/>
      <c r="B47" s="88" t="s">
        <v>54</v>
      </c>
      <c r="C47" s="626"/>
      <c r="D47" s="625"/>
      <c r="E47" s="626"/>
      <c r="F47" s="800"/>
      <c r="G47" s="626"/>
      <c r="H47" s="800"/>
      <c r="I47" s="626"/>
      <c r="J47" s="800"/>
      <c r="K47" s="626"/>
      <c r="L47" s="800"/>
      <c r="M47" s="620"/>
      <c r="O47" s="392"/>
      <c r="P47" s="490"/>
      <c r="Q47" s="392"/>
      <c r="T47" s="393"/>
      <c r="U47" s="345"/>
    </row>
    <row r="48" spans="1:21" ht="15.75">
      <c r="A48" s="11"/>
      <c r="B48" s="94"/>
      <c r="C48" s="28"/>
      <c r="D48" s="28"/>
      <c r="E48" s="28"/>
      <c r="F48" s="28"/>
      <c r="G48" s="10"/>
      <c r="H48" s="10"/>
      <c r="I48" s="10"/>
      <c r="J48" s="10"/>
      <c r="K48" s="10"/>
      <c r="L48" s="10"/>
      <c r="M48" s="10"/>
      <c r="O48" s="396"/>
      <c r="P48" s="490"/>
      <c r="T48" s="393"/>
      <c r="U48" s="345"/>
    </row>
    <row r="49" spans="1:16" ht="15.75">
      <c r="A49" s="11" t="s">
        <v>342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P49" s="491"/>
    </row>
    <row r="50" spans="1:16" ht="15.75">
      <c r="A50" s="11" t="s">
        <v>357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P50" s="387"/>
    </row>
    <row r="51" spans="1:12" ht="15.75">
      <c r="A51" s="11"/>
      <c r="C51" s="24"/>
      <c r="D51" s="24"/>
      <c r="E51" s="24"/>
      <c r="F51" s="24"/>
      <c r="G51" s="24"/>
      <c r="H51" s="24"/>
      <c r="I51" s="24"/>
      <c r="J51" s="24"/>
      <c r="K51" s="24"/>
      <c r="L51" s="24"/>
    </row>
    <row r="52" spans="1:15" ht="15.75">
      <c r="A52" s="947" t="s">
        <v>585</v>
      </c>
      <c r="B52" s="947"/>
      <c r="C52" s="947"/>
      <c r="D52" s="947"/>
      <c r="E52" s="947"/>
      <c r="F52" s="947"/>
      <c r="G52" s="947"/>
      <c r="H52" s="947"/>
      <c r="I52" s="947"/>
      <c r="J52" s="947"/>
      <c r="K52" s="947"/>
      <c r="L52" s="947"/>
      <c r="M52" s="947"/>
      <c r="N52" s="807"/>
      <c r="O52" s="387"/>
    </row>
    <row r="53" spans="3:20" s="739" customFormat="1" ht="12">
      <c r="C53" s="738" t="b">
        <f>C44='7.1'!D17</f>
        <v>1</v>
      </c>
      <c r="D53" s="740" t="b">
        <f>'7.1'!E17=D44</f>
        <v>1</v>
      </c>
      <c r="E53" s="742" t="b">
        <f>'7.1'!F17=E44</f>
        <v>1</v>
      </c>
      <c r="F53" s="742" t="b">
        <f>'7.1'!G17=F44</f>
        <v>1</v>
      </c>
      <c r="G53" s="742" t="b">
        <f>'7.1'!H17=G44</f>
        <v>1</v>
      </c>
      <c r="H53" s="742" t="b">
        <f>'7.1'!I17=H44</f>
        <v>1</v>
      </c>
      <c r="I53" s="742" t="b">
        <f>'7.1'!J17=I44</f>
        <v>1</v>
      </c>
      <c r="J53" s="742" t="b">
        <f>'7.1'!K17=J44</f>
        <v>1</v>
      </c>
      <c r="K53" s="742" t="b">
        <f>'7.1'!L17=K44</f>
        <v>1</v>
      </c>
      <c r="L53" s="740" t="b">
        <f>'7.1'!M17=L44</f>
        <v>1</v>
      </c>
      <c r="O53" s="741"/>
      <c r="P53" s="741"/>
      <c r="Q53" s="741"/>
      <c r="R53" s="741"/>
      <c r="S53" s="741"/>
      <c r="T53" s="741"/>
    </row>
    <row r="54" spans="2:20" s="900" customFormat="1" ht="15.75">
      <c r="B54" s="900" t="s">
        <v>811</v>
      </c>
      <c r="C54" s="901"/>
      <c r="D54" s="904">
        <f>('7.1'!E22+'7.1'!E28+'7.1'!E30+'7.1'!E31+'7.1'!E32+'7.1'!E33+'7.1'!E34)</f>
        <v>18.67595197</v>
      </c>
      <c r="E54" s="904"/>
      <c r="F54" s="904">
        <f>('7.1'!G22+'7.1'!G28+'7.1'!G30+'7.1'!G31+'7.1'!G32+'7.1'!G33+'7.1'!G34)</f>
        <v>1.1659734</v>
      </c>
      <c r="G54" s="904"/>
      <c r="H54" s="904">
        <f>('7.1'!I22+'7.1'!I28+'7.1'!I30+'7.1'!I31+'7.1'!I32+'7.1'!I33+'7.1'!I34)</f>
        <v>1.6517971500000002</v>
      </c>
      <c r="I54" s="904"/>
      <c r="J54" s="904">
        <f>('7.1'!K22+'7.1'!K28+'7.1'!K30+'7.1'!K31+'7.1'!K32+'7.1'!K33+'7.1'!K34)</f>
        <v>14.111950980000001</v>
      </c>
      <c r="K54" s="904"/>
      <c r="L54" s="904">
        <f>('7.1'!M22+'7.1'!M28+'7.1'!M30+'7.1'!M31+'7.1'!M32+'7.1'!M33+'7.1'!M34)</f>
        <v>1.7462304400000002</v>
      </c>
      <c r="N54" s="902"/>
      <c r="O54" s="903"/>
      <c r="P54" s="903"/>
      <c r="Q54" s="903"/>
      <c r="R54" s="903"/>
      <c r="S54" s="903"/>
      <c r="T54" s="903"/>
    </row>
    <row r="55" spans="2:20" s="637" customFormat="1" ht="12.75">
      <c r="B55" s="637" t="s">
        <v>691</v>
      </c>
      <c r="C55" s="639" t="s">
        <v>397</v>
      </c>
      <c r="D55" s="639">
        <f>('7.1'!E22+'7.1'!E28+'7.1'!E30+'7.1'!E31+'7.1'!E32+'7.1'!E33+'7.1'!E34)/1.18</f>
        <v>15.827077940677967</v>
      </c>
      <c r="E55" s="639"/>
      <c r="F55" s="639" t="s">
        <v>398</v>
      </c>
      <c r="G55" s="639"/>
      <c r="H55" s="639"/>
      <c r="I55" s="639" t="s">
        <v>399</v>
      </c>
      <c r="J55" s="639"/>
      <c r="K55" s="639" t="s">
        <v>400</v>
      </c>
      <c r="L55" s="639"/>
      <c r="M55" s="662" t="s">
        <v>396</v>
      </c>
      <c r="N55" s="808"/>
      <c r="O55" s="649"/>
      <c r="P55" s="649"/>
      <c r="Q55" s="649"/>
      <c r="R55" s="649"/>
      <c r="S55" s="649"/>
      <c r="T55" s="649"/>
    </row>
    <row r="56" spans="3:20" s="300" customFormat="1" ht="12.75">
      <c r="C56" s="389"/>
      <c r="D56" s="899"/>
      <c r="E56" s="389"/>
      <c r="F56" s="389"/>
      <c r="G56" s="389"/>
      <c r="H56" s="389"/>
      <c r="I56" s="389"/>
      <c r="J56" s="389"/>
      <c r="K56" s="389"/>
      <c r="L56" s="389"/>
      <c r="N56" s="737"/>
      <c r="O56" s="631"/>
      <c r="P56" s="631"/>
      <c r="Q56" s="631"/>
      <c r="R56" s="631"/>
      <c r="S56" s="631"/>
      <c r="T56" s="631"/>
    </row>
    <row r="57" spans="3:20" s="300" customFormat="1" ht="12.75">
      <c r="C57" s="632">
        <v>5479365</v>
      </c>
      <c r="D57" s="633"/>
      <c r="E57" s="633"/>
      <c r="F57" s="632">
        <v>6915831</v>
      </c>
      <c r="G57" s="633"/>
      <c r="H57" s="633"/>
      <c r="I57" s="632">
        <v>12127768</v>
      </c>
      <c r="J57" s="633"/>
      <c r="K57" s="632">
        <v>4027033</v>
      </c>
      <c r="L57" s="633"/>
      <c r="M57" s="634">
        <v>28549997</v>
      </c>
      <c r="N57" s="809" t="b">
        <f>M57=(C57+F57+I57+K57)</f>
        <v>1</v>
      </c>
      <c r="O57" s="631"/>
      <c r="P57" s="631"/>
      <c r="Q57" s="631"/>
      <c r="R57" s="631"/>
      <c r="S57" s="631"/>
      <c r="T57" s="631"/>
    </row>
    <row r="58" spans="3:20" s="300" customFormat="1" ht="12.75">
      <c r="C58" s="633"/>
      <c r="D58" s="633"/>
      <c r="E58" s="633"/>
      <c r="F58" s="633"/>
      <c r="G58" s="633"/>
      <c r="H58" s="633"/>
      <c r="I58" s="633"/>
      <c r="J58" s="633"/>
      <c r="K58" s="633"/>
      <c r="L58" s="633"/>
      <c r="N58" s="809"/>
      <c r="O58" s="631"/>
      <c r="P58" s="631"/>
      <c r="Q58" s="631"/>
      <c r="R58" s="631"/>
      <c r="S58" s="631"/>
      <c r="T58" s="631"/>
    </row>
    <row r="59" spans="2:20" s="627" customFormat="1" ht="12.75">
      <c r="B59" s="627" t="s">
        <v>692</v>
      </c>
      <c r="C59" s="635">
        <v>0</v>
      </c>
      <c r="D59" s="628"/>
      <c r="E59" s="628"/>
      <c r="F59" s="635">
        <v>0</v>
      </c>
      <c r="G59" s="628"/>
      <c r="H59" s="628"/>
      <c r="I59" s="635">
        <v>917250</v>
      </c>
      <c r="J59" s="628"/>
      <c r="K59" s="635">
        <v>3607152</v>
      </c>
      <c r="L59" s="628"/>
      <c r="M59" s="661">
        <f>C59+F59+I59+K59</f>
        <v>4524402</v>
      </c>
      <c r="N59" s="810" t="b">
        <f>M59=(C59+F59+I59+K59)</f>
        <v>1</v>
      </c>
      <c r="O59" s="636"/>
      <c r="P59" s="629"/>
      <c r="Q59" s="629"/>
      <c r="R59" s="629"/>
      <c r="S59" s="629"/>
      <c r="T59" s="629"/>
    </row>
    <row r="60" spans="3:20" s="300" customFormat="1" ht="12.75">
      <c r="C60" s="632"/>
      <c r="D60" s="633"/>
      <c r="E60" s="633"/>
      <c r="F60" s="632"/>
      <c r="G60" s="633"/>
      <c r="H60" s="633"/>
      <c r="I60" s="632"/>
      <c r="J60" s="633"/>
      <c r="K60" s="632"/>
      <c r="L60" s="633"/>
      <c r="M60" s="634"/>
      <c r="N60" s="809"/>
      <c r="O60" s="631"/>
      <c r="P60" s="631"/>
      <c r="Q60" s="631"/>
      <c r="R60" s="631"/>
      <c r="S60" s="631"/>
      <c r="T60" s="631"/>
    </row>
    <row r="61" spans="2:20" s="300" customFormat="1" ht="12.75">
      <c r="B61" s="637"/>
      <c r="C61" s="638"/>
      <c r="D61" s="639"/>
      <c r="E61" s="639"/>
      <c r="F61" s="638"/>
      <c r="G61" s="639"/>
      <c r="H61" s="639"/>
      <c r="I61" s="638"/>
      <c r="J61" s="639"/>
      <c r="K61" s="638"/>
      <c r="L61" s="639"/>
      <c r="M61" s="640"/>
      <c r="N61" s="809"/>
      <c r="O61" s="631"/>
      <c r="P61" s="631"/>
      <c r="Q61" s="631"/>
      <c r="R61" s="631"/>
      <c r="S61" s="631"/>
      <c r="T61" s="631"/>
    </row>
    <row r="62" spans="2:20" s="300" customFormat="1" ht="12.75">
      <c r="B62" s="637" t="s">
        <v>640</v>
      </c>
      <c r="C62" s="641">
        <f>C57/M57*M62</f>
        <v>8.76004363799185</v>
      </c>
      <c r="D62" s="641"/>
      <c r="E62" s="641"/>
      <c r="F62" s="641">
        <f>F57/M57*M62</f>
        <v>11.056569758170301</v>
      </c>
      <c r="G62" s="641"/>
      <c r="H62" s="641"/>
      <c r="I62" s="641">
        <f>I57/M57*M62</f>
        <v>19.389067330145217</v>
      </c>
      <c r="J62" s="641"/>
      <c r="K62" s="641">
        <f>K57/M57*M62</f>
        <v>6.438152014263192</v>
      </c>
      <c r="L62" s="639"/>
      <c r="M62" s="640">
        <v>45.64383274057056</v>
      </c>
      <c r="N62" s="809" t="b">
        <f>M62=(C62+F62+I62+K62)</f>
        <v>1</v>
      </c>
      <c r="O62" s="631"/>
      <c r="P62" s="631"/>
      <c r="Q62" s="631"/>
      <c r="R62" s="631"/>
      <c r="S62" s="631"/>
      <c r="T62" s="631"/>
    </row>
    <row r="63" spans="3:20" s="300" customFormat="1" ht="12.75">
      <c r="C63" s="632"/>
      <c r="D63" s="632"/>
      <c r="E63" s="632"/>
      <c r="F63" s="632"/>
      <c r="G63" s="632"/>
      <c r="H63" s="632"/>
      <c r="I63" s="632"/>
      <c r="J63" s="632"/>
      <c r="K63" s="632"/>
      <c r="L63" s="632"/>
      <c r="M63" s="640"/>
      <c r="N63" s="809"/>
      <c r="O63" s="631"/>
      <c r="P63" s="631"/>
      <c r="Q63" s="631"/>
      <c r="R63" s="631"/>
      <c r="S63" s="631"/>
      <c r="T63" s="631"/>
    </row>
    <row r="64" spans="2:20" s="300" customFormat="1" ht="12.75" hidden="1">
      <c r="B64" s="637" t="s">
        <v>641</v>
      </c>
      <c r="C64" s="638"/>
      <c r="D64" s="639"/>
      <c r="E64" s="639"/>
      <c r="F64" s="638"/>
      <c r="G64" s="639"/>
      <c r="H64" s="639"/>
      <c r="I64" s="638"/>
      <c r="J64" s="639"/>
      <c r="K64" s="638"/>
      <c r="L64" s="639"/>
      <c r="M64" s="640">
        <v>38.656</v>
      </c>
      <c r="N64" s="809"/>
      <c r="O64" s="631"/>
      <c r="P64" s="631"/>
      <c r="Q64" s="631"/>
      <c r="R64" s="631"/>
      <c r="S64" s="631"/>
      <c r="T64" s="631"/>
    </row>
    <row r="65" spans="2:20" s="300" customFormat="1" ht="12.75" hidden="1">
      <c r="B65" s="637"/>
      <c r="C65" s="638"/>
      <c r="D65" s="639"/>
      <c r="E65" s="639"/>
      <c r="F65" s="638"/>
      <c r="G65" s="639"/>
      <c r="H65" s="639"/>
      <c r="I65" s="638"/>
      <c r="J65" s="639"/>
      <c r="K65" s="638"/>
      <c r="L65" s="639"/>
      <c r="M65" s="642"/>
      <c r="N65" s="809"/>
      <c r="O65" s="631"/>
      <c r="P65" s="631"/>
      <c r="Q65" s="631"/>
      <c r="R65" s="631"/>
      <c r="S65" s="631"/>
      <c r="T65" s="631"/>
    </row>
    <row r="66" spans="2:20" s="300" customFormat="1" ht="12.75" hidden="1">
      <c r="B66" s="637" t="s">
        <v>642</v>
      </c>
      <c r="C66" s="632"/>
      <c r="D66" s="633"/>
      <c r="E66" s="633"/>
      <c r="F66" s="632"/>
      <c r="G66" s="633"/>
      <c r="H66" s="633"/>
      <c r="I66" s="632"/>
      <c r="J66" s="633"/>
      <c r="K66" s="632"/>
      <c r="L66" s="633"/>
      <c r="M66" s="640">
        <v>41.112644431721584</v>
      </c>
      <c r="N66" s="809"/>
      <c r="O66" s="631"/>
      <c r="P66" s="631"/>
      <c r="Q66" s="631"/>
      <c r="R66" s="631"/>
      <c r="S66" s="631"/>
      <c r="T66" s="631"/>
    </row>
    <row r="67" spans="3:20" s="300" customFormat="1" ht="12.75">
      <c r="C67" s="633"/>
      <c r="D67" s="633"/>
      <c r="E67" s="633"/>
      <c r="F67" s="633"/>
      <c r="G67" s="633"/>
      <c r="H67" s="633"/>
      <c r="I67" s="633"/>
      <c r="J67" s="633"/>
      <c r="K67" s="633"/>
      <c r="L67" s="633"/>
      <c r="M67" s="596"/>
      <c r="N67" s="808"/>
      <c r="O67" s="631"/>
      <c r="P67" s="631"/>
      <c r="Q67" s="631"/>
      <c r="R67" s="631"/>
      <c r="S67" s="631"/>
      <c r="T67" s="631"/>
    </row>
    <row r="68" spans="2:20" s="300" customFormat="1" ht="12.75" hidden="1">
      <c r="B68" s="637" t="s">
        <v>643</v>
      </c>
      <c r="C68" s="642">
        <v>10782.753794248678</v>
      </c>
      <c r="D68" s="633"/>
      <c r="E68" s="633"/>
      <c r="F68" s="632"/>
      <c r="G68" s="633"/>
      <c r="H68" s="633"/>
      <c r="I68" s="632"/>
      <c r="J68" s="633"/>
      <c r="K68" s="632"/>
      <c r="L68" s="633"/>
      <c r="M68" s="642"/>
      <c r="N68" s="809"/>
      <c r="O68" s="631"/>
      <c r="P68" s="631"/>
      <c r="Q68" s="631"/>
      <c r="R68" s="631"/>
      <c r="S68" s="631"/>
      <c r="T68" s="631"/>
    </row>
    <row r="69" spans="2:20" s="637" customFormat="1" ht="12.75">
      <c r="B69" s="637" t="s">
        <v>693</v>
      </c>
      <c r="C69" s="663">
        <f>C57*M69/M57</f>
        <v>6.179879913822734</v>
      </c>
      <c r="D69" s="639"/>
      <c r="E69" s="639"/>
      <c r="F69" s="663">
        <f>F57*M69/M57</f>
        <v>7.799992350261863</v>
      </c>
      <c r="G69" s="663"/>
      <c r="H69" s="663"/>
      <c r="I69" s="663">
        <f>I57*M69/M57</f>
        <v>13.678254663214096</v>
      </c>
      <c r="J69" s="663"/>
      <c r="K69" s="663">
        <f>K57*M69/M57</f>
        <v>4.541873072701181</v>
      </c>
      <c r="L69" s="639"/>
      <c r="M69" s="640">
        <v>32.199999999999875</v>
      </c>
      <c r="N69" s="809" t="b">
        <f>M69=(C69+F69+I69+K69)</f>
        <v>1</v>
      </c>
      <c r="O69" s="649"/>
      <c r="P69" s="649"/>
      <c r="Q69" s="649"/>
      <c r="R69" s="649"/>
      <c r="S69" s="649"/>
      <c r="T69" s="649"/>
    </row>
    <row r="70" spans="3:20" s="300" customFormat="1" ht="12.75">
      <c r="C70" s="643"/>
      <c r="D70" s="644"/>
      <c r="E70" s="644"/>
      <c r="F70" s="643"/>
      <c r="G70" s="644"/>
      <c r="H70" s="644"/>
      <c r="I70" s="645"/>
      <c r="J70" s="646"/>
      <c r="K70" s="645"/>
      <c r="L70" s="644"/>
      <c r="M70" s="643"/>
      <c r="N70" s="809"/>
      <c r="O70" s="647"/>
      <c r="P70" s="631"/>
      <c r="Q70" s="631"/>
      <c r="R70" s="631"/>
      <c r="S70" s="631"/>
      <c r="T70" s="631"/>
    </row>
    <row r="71" spans="2:20" s="598" customFormat="1" ht="12.75">
      <c r="B71" s="664" t="s">
        <v>694</v>
      </c>
      <c r="C71" s="600">
        <f>C59*$M$71/$M$59</f>
        <v>0</v>
      </c>
      <c r="F71" s="600">
        <f>F59*$M$71/$M$59</f>
        <v>0</v>
      </c>
      <c r="I71" s="600">
        <f>I59*$M$71/$M$59</f>
        <v>2.790679036211276</v>
      </c>
      <c r="K71" s="600">
        <f>K59*$M$71/$M$59</f>
        <v>10.974547251924314</v>
      </c>
      <c r="M71" s="658">
        <v>13.76522628813559</v>
      </c>
      <c r="N71" s="809" t="b">
        <f>M71=(C71+F71+I71+K71)</f>
        <v>1</v>
      </c>
      <c r="O71" s="659"/>
      <c r="P71" s="659"/>
      <c r="Q71" s="659"/>
      <c r="R71" s="659"/>
      <c r="S71" s="659"/>
      <c r="T71" s="659"/>
    </row>
    <row r="72" spans="2:20" s="654" customFormat="1" ht="12.75">
      <c r="B72" s="650"/>
      <c r="C72" s="650"/>
      <c r="D72" s="650"/>
      <c r="E72" s="650"/>
      <c r="F72" s="651"/>
      <c r="G72" s="651"/>
      <c r="H72" s="651"/>
      <c r="I72" s="652"/>
      <c r="J72" s="651"/>
      <c r="K72" s="652"/>
      <c r="L72" s="644"/>
      <c r="M72" s="653"/>
      <c r="N72" s="808"/>
      <c r="O72" s="647"/>
      <c r="P72" s="647"/>
      <c r="Q72" s="647"/>
      <c r="R72" s="647"/>
      <c r="S72" s="647"/>
      <c r="T72" s="647"/>
    </row>
    <row r="73" spans="2:20" s="300" customFormat="1" ht="12.75">
      <c r="B73" s="655"/>
      <c r="C73" s="656"/>
      <c r="D73" s="656"/>
      <c r="E73" s="656"/>
      <c r="F73" s="656"/>
      <c r="G73" s="656"/>
      <c r="H73" s="389"/>
      <c r="I73" s="389"/>
      <c r="J73" s="389"/>
      <c r="K73" s="389"/>
      <c r="L73" s="389"/>
      <c r="N73" s="808"/>
      <c r="O73" s="631"/>
      <c r="P73" s="631"/>
      <c r="Q73" s="631"/>
      <c r="R73" s="631"/>
      <c r="S73" s="631"/>
      <c r="T73" s="631"/>
    </row>
    <row r="74" spans="2:20" s="300" customFormat="1" ht="12.75">
      <c r="B74" s="656"/>
      <c r="C74" s="657"/>
      <c r="D74" s="389"/>
      <c r="E74" s="389"/>
      <c r="F74" s="657"/>
      <c r="G74" s="389"/>
      <c r="H74" s="389"/>
      <c r="I74" s="389"/>
      <c r="J74" s="389"/>
      <c r="K74" s="389"/>
      <c r="L74" s="389"/>
      <c r="N74" s="808"/>
      <c r="O74" s="631"/>
      <c r="P74" s="631"/>
      <c r="Q74" s="631"/>
      <c r="R74" s="631"/>
      <c r="S74" s="631"/>
      <c r="T74" s="631"/>
    </row>
    <row r="75" spans="3:20" s="300" customFormat="1" ht="12.75">
      <c r="C75" s="389"/>
      <c r="D75" s="389"/>
      <c r="E75" s="389"/>
      <c r="F75" s="657"/>
      <c r="G75" s="389"/>
      <c r="H75" s="389"/>
      <c r="I75" s="389"/>
      <c r="J75" s="389"/>
      <c r="K75" s="389"/>
      <c r="L75" s="389"/>
      <c r="N75" s="808"/>
      <c r="O75" s="631"/>
      <c r="P75" s="631"/>
      <c r="Q75" s="631"/>
      <c r="R75" s="631"/>
      <c r="S75" s="631"/>
      <c r="T75" s="631"/>
    </row>
    <row r="76" spans="2:20" s="637" customFormat="1" ht="12.75">
      <c r="B76" s="637" t="s">
        <v>695</v>
      </c>
      <c r="C76" s="648">
        <f>C57*$M$76/$M$57</f>
        <v>1.9515554257113568</v>
      </c>
      <c r="D76" s="648"/>
      <c r="E76" s="648"/>
      <c r="F76" s="648">
        <f>F57*$M$76/$M$57</f>
        <v>2.4631736544933216</v>
      </c>
      <c r="G76" s="648"/>
      <c r="H76" s="648"/>
      <c r="I76" s="648">
        <f>I57*$M$76/$M$57</f>
        <v>4.319480713945607</v>
      </c>
      <c r="J76" s="648"/>
      <c r="K76" s="648">
        <f>K57*$M$76/$M$57</f>
        <v>1.4342862905954763</v>
      </c>
      <c r="L76" s="660"/>
      <c r="M76" s="648">
        <v>10.168496084745762</v>
      </c>
      <c r="N76" s="809" t="b">
        <f>M76=(C76+F76+I76+K76)</f>
        <v>1</v>
      </c>
      <c r="O76" s="649"/>
      <c r="P76" s="649"/>
      <c r="Q76" s="649"/>
      <c r="R76" s="649"/>
      <c r="S76" s="649"/>
      <c r="T76" s="649"/>
    </row>
    <row r="77" spans="3:20" s="300" customFormat="1" ht="12.75">
      <c r="C77" s="372"/>
      <c r="D77" s="372"/>
      <c r="E77" s="372"/>
      <c r="F77" s="667"/>
      <c r="G77" s="667"/>
      <c r="H77" s="667"/>
      <c r="I77" s="372"/>
      <c r="J77" s="372"/>
      <c r="K77" s="372"/>
      <c r="N77" s="808"/>
      <c r="O77" s="631"/>
      <c r="P77" s="631"/>
      <c r="Q77" s="631"/>
      <c r="R77" s="631"/>
      <c r="S77" s="631"/>
      <c r="T77" s="631"/>
    </row>
    <row r="78" spans="2:20" s="598" customFormat="1" ht="12.75">
      <c r="B78" s="598" t="s">
        <v>696</v>
      </c>
      <c r="C78" s="674">
        <f>C59*$M$78/$M$59</f>
        <v>0</v>
      </c>
      <c r="D78" s="668"/>
      <c r="E78" s="668"/>
      <c r="F78" s="674">
        <f>F59*$M$78/$M$59</f>
        <v>0</v>
      </c>
      <c r="G78" s="668"/>
      <c r="H78" s="665"/>
      <c r="I78" s="674">
        <f>I59*$M$78/$M$59</f>
        <v>0.5023222265180297</v>
      </c>
      <c r="J78" s="665"/>
      <c r="K78" s="674">
        <f>K59*$M$78/$M$59</f>
        <v>1.9754185053463766</v>
      </c>
      <c r="L78" s="666"/>
      <c r="M78" s="669">
        <v>2.4777407318644062</v>
      </c>
      <c r="N78" s="809" t="b">
        <f>M78=(C78+F78+I78+K78)</f>
        <v>1</v>
      </c>
      <c r="O78" s="659"/>
      <c r="P78" s="659"/>
      <c r="Q78" s="659"/>
      <c r="R78" s="659"/>
      <c r="S78" s="659"/>
      <c r="T78" s="659"/>
    </row>
    <row r="79" spans="3:20" s="300" customFormat="1" ht="12.75">
      <c r="C79" s="670"/>
      <c r="D79" s="671"/>
      <c r="E79" s="671"/>
      <c r="F79" s="671"/>
      <c r="G79" s="671"/>
      <c r="H79" s="670"/>
      <c r="I79" s="671"/>
      <c r="J79" s="671"/>
      <c r="K79" s="671"/>
      <c r="L79" s="671"/>
      <c r="M79" s="671"/>
      <c r="N79" s="737"/>
      <c r="O79" s="631"/>
      <c r="P79" s="631"/>
      <c r="Q79" s="631"/>
      <c r="R79" s="631"/>
      <c r="S79" s="631"/>
      <c r="T79" s="631"/>
    </row>
    <row r="80" spans="3:20" s="362" customFormat="1" ht="15">
      <c r="C80" s="672"/>
      <c r="D80" s="672"/>
      <c r="E80" s="672"/>
      <c r="F80" s="672"/>
      <c r="G80" s="672"/>
      <c r="H80" s="672"/>
      <c r="I80" s="672"/>
      <c r="J80" s="672"/>
      <c r="K80" s="672"/>
      <c r="L80" s="672"/>
      <c r="M80" s="672"/>
      <c r="N80" s="737"/>
      <c r="O80" s="630"/>
      <c r="P80" s="630"/>
      <c r="Q80" s="630"/>
      <c r="R80" s="630"/>
      <c r="S80" s="630"/>
      <c r="T80" s="630"/>
    </row>
    <row r="81" spans="3:13" ht="15.75">
      <c r="C81" s="673"/>
      <c r="D81" s="673"/>
      <c r="E81" s="673"/>
      <c r="F81" s="673"/>
      <c r="G81" s="673"/>
      <c r="H81" s="673"/>
      <c r="I81" s="673"/>
      <c r="J81" s="673"/>
      <c r="K81" s="673"/>
      <c r="L81" s="673"/>
      <c r="M81" s="673"/>
    </row>
    <row r="82" spans="3:13" ht="15.75">
      <c r="C82" s="673"/>
      <c r="D82" s="673"/>
      <c r="E82" s="673"/>
      <c r="F82" s="673"/>
      <c r="G82" s="673"/>
      <c r="H82" s="673"/>
      <c r="I82" s="673"/>
      <c r="J82" s="673"/>
      <c r="K82" s="673"/>
      <c r="L82" s="673"/>
      <c r="M82" s="673"/>
    </row>
    <row r="84" spans="2:20" s="637" customFormat="1" ht="12.75">
      <c r="B84" s="637" t="s">
        <v>697</v>
      </c>
      <c r="C84" s="648">
        <f>C69+E26+E27+E36+C76</f>
        <v>22.124803626779062</v>
      </c>
      <c r="D84" s="662"/>
      <c r="E84" s="662"/>
      <c r="F84" s="640">
        <f>G26+G27+G37+F69+F76</f>
        <v>27.925024668185287</v>
      </c>
      <c r="G84" s="662"/>
      <c r="H84" s="662"/>
      <c r="I84" s="640">
        <f>I26+I27+I36+I69+I76</f>
        <v>48.969996602003164</v>
      </c>
      <c r="J84" s="662"/>
      <c r="K84" s="640">
        <f>K26+K27+K36+K69+K76</f>
        <v>16.26051820303246</v>
      </c>
      <c r="L84" s="662"/>
      <c r="M84" s="648">
        <f>C84+F84+I84+K84</f>
        <v>115.28034309999998</v>
      </c>
      <c r="N84" s="811"/>
      <c r="O84" s="649"/>
      <c r="P84" s="649"/>
      <c r="Q84" s="649"/>
      <c r="R84" s="649"/>
      <c r="S84" s="649"/>
      <c r="T84" s="649"/>
    </row>
    <row r="85" spans="3:20" s="300" customFormat="1" ht="12.75">
      <c r="C85" s="596"/>
      <c r="D85" s="596"/>
      <c r="E85" s="596"/>
      <c r="F85" s="596"/>
      <c r="G85" s="596"/>
      <c r="H85" s="596"/>
      <c r="I85" s="596"/>
      <c r="J85" s="596"/>
      <c r="K85" s="596"/>
      <c r="L85" s="596"/>
      <c r="M85" s="596"/>
      <c r="N85" s="769"/>
      <c r="O85" s="631"/>
      <c r="P85" s="631"/>
      <c r="Q85" s="631"/>
      <c r="R85" s="631"/>
      <c r="S85" s="631"/>
      <c r="T85" s="631"/>
    </row>
    <row r="86" spans="2:20" s="598" customFormat="1" ht="12.75">
      <c r="B86" s="598" t="s">
        <v>698</v>
      </c>
      <c r="C86" s="669">
        <f>C71+C78</f>
        <v>0</v>
      </c>
      <c r="D86" s="600"/>
      <c r="E86" s="600"/>
      <c r="F86" s="669">
        <f>F71+F78</f>
        <v>0</v>
      </c>
      <c r="G86" s="600"/>
      <c r="H86" s="600"/>
      <c r="I86" s="669">
        <f>I71+I78</f>
        <v>3.2930012627293057</v>
      </c>
      <c r="J86" s="600"/>
      <c r="K86" s="669">
        <f>K71+K78</f>
        <v>12.94996575727069</v>
      </c>
      <c r="L86" s="600"/>
      <c r="M86" s="648">
        <f>C86+F86+I86+K86</f>
        <v>16.242967019999995</v>
      </c>
      <c r="N86" s="812"/>
      <c r="O86" s="659"/>
      <c r="P86" s="659"/>
      <c r="Q86" s="659"/>
      <c r="R86" s="659"/>
      <c r="S86" s="659"/>
      <c r="T86" s="659"/>
    </row>
    <row r="87" spans="3:20" s="300" customFormat="1" ht="12.75">
      <c r="C87" s="596"/>
      <c r="D87" s="596"/>
      <c r="E87" s="596"/>
      <c r="F87" s="596"/>
      <c r="G87" s="596"/>
      <c r="H87" s="596"/>
      <c r="I87" s="596"/>
      <c r="J87" s="596"/>
      <c r="K87" s="596"/>
      <c r="L87" s="596"/>
      <c r="M87" s="596"/>
      <c r="N87" s="769"/>
      <c r="O87" s="631"/>
      <c r="P87" s="631"/>
      <c r="Q87" s="631"/>
      <c r="R87" s="631"/>
      <c r="S87" s="631"/>
      <c r="T87" s="631"/>
    </row>
    <row r="88" spans="3:20" s="300" customFormat="1" ht="12.75">
      <c r="C88" s="596"/>
      <c r="D88" s="596"/>
      <c r="E88" s="596"/>
      <c r="F88" s="596"/>
      <c r="G88" s="596"/>
      <c r="H88" s="596"/>
      <c r="I88" s="596"/>
      <c r="J88" s="596"/>
      <c r="K88" s="596"/>
      <c r="L88" s="596"/>
      <c r="M88" s="658" t="b">
        <f>M84+M86=C44</f>
        <v>1</v>
      </c>
      <c r="N88" s="769"/>
      <c r="O88" s="631"/>
      <c r="P88" s="631"/>
      <c r="Q88" s="631"/>
      <c r="R88" s="631"/>
      <c r="S88" s="631"/>
      <c r="T88" s="631"/>
    </row>
    <row r="89" spans="14:20" s="300" customFormat="1" ht="12.75">
      <c r="N89" s="737"/>
      <c r="O89" s="631"/>
      <c r="P89" s="631"/>
      <c r="Q89" s="631"/>
      <c r="R89" s="631"/>
      <c r="S89" s="631"/>
      <c r="T89" s="631"/>
    </row>
    <row r="90" spans="2:11" ht="15.75">
      <c r="B90" s="1" t="s">
        <v>812</v>
      </c>
      <c r="C90" s="1">
        <f>('7.1'!D22+'7.1'!D28+'7.1'!D30+'7.1'!D31+'7.1'!D32+'7.1'!D33+'7.1'!D34)</f>
        <v>22.16644912</v>
      </c>
      <c r="E90" s="1">
        <f>('7.1'!F22+'7.1'!F28+'7.1'!F30+'7.1'!F31+'7.1'!F32+'7.1'!F33+'7.1'!F34)</f>
        <v>1.1368386409080462</v>
      </c>
      <c r="G90" s="1">
        <f>('7.1'!H22+'7.1'!H28+'7.1'!H30+'7.1'!H31+'7.1'!H32+'7.1'!H33+'7.1'!H34)</f>
        <v>1.4348713609678736</v>
      </c>
      <c r="I90" s="1">
        <f>('7.1'!J22+'7.1'!J28+'7.1'!J30+'7.1'!J31+'7.1'!J32+'7.1'!J33+'7.1'!J34)</f>
        <v>5.809226279746441</v>
      </c>
      <c r="K90" s="1">
        <f>('7.1'!L22+'7.1'!L28+'7.1'!L30+'7.1'!L31+'7.1'!L32+'7.1'!L33+'7.1'!L34)</f>
        <v>13.785479858377633</v>
      </c>
    </row>
  </sheetData>
  <sheetProtection/>
  <mergeCells count="13">
    <mergeCell ref="K17:L17"/>
    <mergeCell ref="A52:M52"/>
    <mergeCell ref="A13:M13"/>
    <mergeCell ref="N13:O13"/>
    <mergeCell ref="A16:A18"/>
    <mergeCell ref="B16:B18"/>
    <mergeCell ref="C16:L16"/>
    <mergeCell ref="M16:M18"/>
    <mergeCell ref="C17:D17"/>
    <mergeCell ref="E17:F17"/>
    <mergeCell ref="G17:H17"/>
    <mergeCell ref="I17:J17"/>
    <mergeCell ref="A14:M14"/>
  </mergeCells>
  <printOptions/>
  <pageMargins left="0.59" right="0.2" top="0.75" bottom="0.75" header="0.3" footer="0.3"/>
  <pageSetup fitToHeight="1" fitToWidth="1" horizontalDpi="600" verticalDpi="600" orientation="portrait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="70" zoomScaleSheetLayoutView="70" zoomScalePageLayoutView="0" workbookViewId="0" topLeftCell="A1">
      <pane xSplit="2" topLeftCell="C1" activePane="topRight" state="frozen"/>
      <selection pane="topLeft" activeCell="AL5" sqref="AL5"/>
      <selection pane="topRight" activeCell="K27" sqref="K27"/>
    </sheetView>
  </sheetViews>
  <sheetFormatPr defaultColWidth="9.00390625" defaultRowHeight="15.75"/>
  <cols>
    <col min="1" max="1" width="7.50390625" style="772" customWidth="1"/>
    <col min="2" max="2" width="45.125" style="773" customWidth="1"/>
    <col min="3" max="10" width="11.625" style="772" customWidth="1"/>
    <col min="11" max="11" width="9.00390625" style="790" customWidth="1"/>
    <col min="12" max="12" width="9.00390625" style="772" customWidth="1"/>
    <col min="13" max="13" width="10.625" style="772" bestFit="1" customWidth="1"/>
    <col min="14" max="15" width="9.00390625" style="362" customWidth="1"/>
  </cols>
  <sheetData>
    <row r="1" spans="1:10" ht="75.75" customHeight="1">
      <c r="A1" s="993" t="s">
        <v>236</v>
      </c>
      <c r="B1" s="993" t="s">
        <v>529</v>
      </c>
      <c r="C1" s="776" t="s">
        <v>713</v>
      </c>
      <c r="D1" s="776" t="s">
        <v>715</v>
      </c>
      <c r="E1" s="777" t="s">
        <v>713</v>
      </c>
      <c r="F1" s="777" t="s">
        <v>715</v>
      </c>
      <c r="G1" s="778" t="s">
        <v>713</v>
      </c>
      <c r="H1" s="778" t="s">
        <v>715</v>
      </c>
      <c r="I1" s="888" t="s">
        <v>713</v>
      </c>
      <c r="J1" s="888" t="s">
        <v>715</v>
      </c>
    </row>
    <row r="2" spans="1:10" ht="15.75" customHeight="1">
      <c r="A2" s="993"/>
      <c r="B2" s="993"/>
      <c r="C2" s="992" t="s">
        <v>714</v>
      </c>
      <c r="D2" s="992"/>
      <c r="E2" s="994" t="s">
        <v>716</v>
      </c>
      <c r="F2" s="994"/>
      <c r="G2" s="995" t="s">
        <v>717</v>
      </c>
      <c r="H2" s="995"/>
      <c r="I2" s="996" t="s">
        <v>805</v>
      </c>
      <c r="J2" s="996"/>
    </row>
    <row r="3" spans="1:14" ht="30">
      <c r="A3" s="774">
        <v>1</v>
      </c>
      <c r="B3" s="779" t="s">
        <v>662</v>
      </c>
      <c r="C3" s="780">
        <v>0</v>
      </c>
      <c r="D3" s="780">
        <v>0</v>
      </c>
      <c r="E3" s="781">
        <f>3.10854808*1.18</f>
        <v>3.6680867343999997</v>
      </c>
      <c r="F3" s="781">
        <f>(3.10854808*1.18)*18/118</f>
        <v>0.5595386544</v>
      </c>
      <c r="G3" s="782">
        <f>20.11905*1.18</f>
        <v>23.740479</v>
      </c>
      <c r="H3" s="782">
        <f>(20.11905*1.18)*18/118</f>
        <v>3.621429</v>
      </c>
      <c r="I3" s="889">
        <f>4.86224946*1.18</f>
        <v>5.737454362799999</v>
      </c>
      <c r="J3" s="889">
        <f>(4.86224946*1.18)*18/118</f>
        <v>0.8752049028</v>
      </c>
      <c r="K3" s="789">
        <f>C3+E3+G3+I3</f>
        <v>33.1460200972</v>
      </c>
      <c r="L3" s="789">
        <f>D3+F3+H3+J3</f>
        <v>5.0561725572</v>
      </c>
      <c r="N3" s="896"/>
    </row>
    <row r="4" spans="1:12" ht="15.75">
      <c r="A4" s="774">
        <v>2</v>
      </c>
      <c r="B4" s="779" t="s">
        <v>617</v>
      </c>
      <c r="C4" s="780">
        <v>0</v>
      </c>
      <c r="D4" s="780">
        <v>0</v>
      </c>
      <c r="E4" s="781">
        <v>0</v>
      </c>
      <c r="F4" s="781">
        <v>0</v>
      </c>
      <c r="G4" s="782">
        <f>2.10664*1.18+0.10824*1.18+0.13529*1.18+(0.000125+0.000155+0.00032+0.0004+0.16525424)*1.18</f>
        <v>2.9693806032</v>
      </c>
      <c r="H4" s="782">
        <f>(2.10664*1.18+0.10824*1.18+0.13529*1.18+(0.000125+0.000155+0.00032+0.0004+0.16525424)*1.18)*18/118</f>
        <v>0.4529563632</v>
      </c>
      <c r="I4" s="889">
        <v>0</v>
      </c>
      <c r="J4" s="889">
        <v>0</v>
      </c>
      <c r="K4" s="789">
        <f aca="true" t="shared" si="0" ref="K4:K21">C4+E4+G4+I4</f>
        <v>2.9693806032</v>
      </c>
      <c r="L4" s="789">
        <f aca="true" t="shared" si="1" ref="L4:L21">D4+F4+H4+J4</f>
        <v>0.4529563632</v>
      </c>
    </row>
    <row r="5" spans="1:14" ht="60">
      <c r="A5" s="774">
        <v>3</v>
      </c>
      <c r="B5" s="775" t="s">
        <v>665</v>
      </c>
      <c r="C5" s="780">
        <v>0</v>
      </c>
      <c r="D5" s="780">
        <v>0</v>
      </c>
      <c r="E5" s="781">
        <v>0</v>
      </c>
      <c r="F5" s="781">
        <v>0</v>
      </c>
      <c r="G5" s="782">
        <v>0</v>
      </c>
      <c r="H5" s="782">
        <v>0</v>
      </c>
      <c r="I5" s="889">
        <f>0.46310532*1.18</f>
        <v>0.5464642775999999</v>
      </c>
      <c r="J5" s="889">
        <f>(0.46310532*1.18)*18/118</f>
        <v>0.08335895759999999</v>
      </c>
      <c r="K5" s="789">
        <f t="shared" si="0"/>
        <v>0.5464642775999999</v>
      </c>
      <c r="L5" s="789">
        <f t="shared" si="1"/>
        <v>0.08335895759999999</v>
      </c>
      <c r="N5" s="896"/>
    </row>
    <row r="6" spans="1:12" ht="15.75">
      <c r="A6" s="774">
        <v>4</v>
      </c>
      <c r="B6" s="779" t="s">
        <v>649</v>
      </c>
      <c r="C6" s="780">
        <f>0.26949153*1.18+0.368431+1.60898664*1.18+0.03061958*1.18</f>
        <v>2.621166345</v>
      </c>
      <c r="D6" s="780">
        <f>(0.26949153*1.18+1.60898664*1.18+0.03061958*1.18)*18/118</f>
        <v>0.3436375949999999</v>
      </c>
      <c r="E6" s="781">
        <v>0</v>
      </c>
      <c r="F6" s="781">
        <v>0</v>
      </c>
      <c r="G6" s="782">
        <v>0</v>
      </c>
      <c r="H6" s="782">
        <v>0</v>
      </c>
      <c r="I6" s="889">
        <v>0</v>
      </c>
      <c r="J6" s="889">
        <v>0</v>
      </c>
      <c r="K6" s="789">
        <f t="shared" si="0"/>
        <v>2.621166345</v>
      </c>
      <c r="L6" s="789">
        <f t="shared" si="1"/>
        <v>0.3436375949999999</v>
      </c>
    </row>
    <row r="7" spans="1:12" ht="30">
      <c r="A7" s="774">
        <v>5</v>
      </c>
      <c r="B7" s="775" t="s">
        <v>663</v>
      </c>
      <c r="C7" s="780">
        <v>0</v>
      </c>
      <c r="D7" s="780">
        <v>0</v>
      </c>
      <c r="E7" s="781">
        <v>0</v>
      </c>
      <c r="F7" s="781">
        <v>0</v>
      </c>
      <c r="G7" s="782">
        <f>0.81864407/2+((1.59229826-0.81864407)/2)*1.18</f>
        <v>0.8657780071</v>
      </c>
      <c r="H7" s="782">
        <f>(((1.59229826-0.81864407)/2)*1.18)*18/118</f>
        <v>0.0696288771</v>
      </c>
      <c r="I7" s="889">
        <v>0</v>
      </c>
      <c r="J7" s="889">
        <v>0</v>
      </c>
      <c r="K7" s="789">
        <f t="shared" si="0"/>
        <v>0.8657780071</v>
      </c>
      <c r="L7" s="789">
        <f t="shared" si="1"/>
        <v>0.0696288771</v>
      </c>
    </row>
    <row r="8" spans="1:12" ht="45">
      <c r="A8" s="774">
        <v>6</v>
      </c>
      <c r="B8" s="775" t="s">
        <v>664</v>
      </c>
      <c r="C8" s="780">
        <v>0</v>
      </c>
      <c r="D8" s="780">
        <v>0</v>
      </c>
      <c r="E8" s="781">
        <v>0</v>
      </c>
      <c r="F8" s="781">
        <v>0</v>
      </c>
      <c r="G8" s="782">
        <f>0.81864407/2+((1.59229826-0.81864407)/2)*1.18</f>
        <v>0.8657780071</v>
      </c>
      <c r="H8" s="782">
        <f>(((1.59229826-0.81864407)/2)*1.18)*18/118</f>
        <v>0.0696288771</v>
      </c>
      <c r="I8" s="889">
        <v>0</v>
      </c>
      <c r="J8" s="889">
        <v>0</v>
      </c>
      <c r="K8" s="789">
        <f t="shared" si="0"/>
        <v>0.8657780071</v>
      </c>
      <c r="L8" s="789">
        <f t="shared" si="1"/>
        <v>0.0696288771</v>
      </c>
    </row>
    <row r="9" spans="1:14" ht="15.75">
      <c r="A9" s="774">
        <v>7</v>
      </c>
      <c r="B9" s="775" t="s">
        <v>677</v>
      </c>
      <c r="C9" s="780">
        <v>0</v>
      </c>
      <c r="D9" s="780">
        <v>0</v>
      </c>
      <c r="E9" s="781">
        <v>0</v>
      </c>
      <c r="F9" s="781">
        <v>0</v>
      </c>
      <c r="G9" s="782">
        <f>0.27047362*1.18</f>
        <v>0.3191588716</v>
      </c>
      <c r="H9" s="782">
        <f>(0.27047362*1.18)*18/118</f>
        <v>0.0486852516</v>
      </c>
      <c r="I9" s="889">
        <f>0.09758925*1.18</f>
        <v>0.115155315</v>
      </c>
      <c r="J9" s="889">
        <f>(0.09758925*1.18)*18/118</f>
        <v>0.017566065000000002</v>
      </c>
      <c r="K9" s="789">
        <f t="shared" si="0"/>
        <v>0.4343141866</v>
      </c>
      <c r="L9" s="789">
        <f t="shared" si="1"/>
        <v>0.0662513166</v>
      </c>
      <c r="N9" s="896"/>
    </row>
    <row r="10" spans="1:12" ht="15.75">
      <c r="A10" s="774">
        <v>8</v>
      </c>
      <c r="B10" s="775" t="s">
        <v>678</v>
      </c>
      <c r="C10" s="780">
        <v>0</v>
      </c>
      <c r="D10" s="780">
        <v>0</v>
      </c>
      <c r="E10" s="781">
        <f>0.50847458*1.18</f>
        <v>0.6000000044</v>
      </c>
      <c r="F10" s="781">
        <f>(0.50847458*1.18)*18/118</f>
        <v>0.0915254244</v>
      </c>
      <c r="G10" s="782">
        <v>0</v>
      </c>
      <c r="H10" s="782">
        <v>0</v>
      </c>
      <c r="I10" s="889">
        <v>0</v>
      </c>
      <c r="J10" s="889">
        <v>0</v>
      </c>
      <c r="K10" s="789">
        <f t="shared" si="0"/>
        <v>0.6000000044</v>
      </c>
      <c r="L10" s="789">
        <f t="shared" si="1"/>
        <v>0.0915254244</v>
      </c>
    </row>
    <row r="11" spans="1:14" ht="15.75">
      <c r="A11" s="774">
        <v>9</v>
      </c>
      <c r="B11" s="775" t="s">
        <v>679</v>
      </c>
      <c r="C11" s="780">
        <v>0</v>
      </c>
      <c r="D11" s="780">
        <v>0</v>
      </c>
      <c r="E11" s="781">
        <f>0.12747826*1.18</f>
        <v>0.1504243468</v>
      </c>
      <c r="F11" s="781">
        <f>(0.12747826*1.18)*18/118</f>
        <v>0.022946086799999998</v>
      </c>
      <c r="G11" s="782">
        <f>0.06226275*1.18</f>
        <v>0.073470045</v>
      </c>
      <c r="H11" s="782">
        <f>(0.06226275*1.18)*18/118</f>
        <v>0.011207294999999999</v>
      </c>
      <c r="I11" s="889">
        <f>0.06226275*1.18</f>
        <v>0.073470045</v>
      </c>
      <c r="J11" s="889">
        <f>(0.06226275*1.18)*18/118</f>
        <v>0.011207294999999999</v>
      </c>
      <c r="K11" s="789">
        <f t="shared" si="0"/>
        <v>0.29736443679999996</v>
      </c>
      <c r="L11" s="789">
        <f t="shared" si="1"/>
        <v>0.04536067679999999</v>
      </c>
      <c r="N11" s="896"/>
    </row>
    <row r="12" spans="1:14" ht="15.75">
      <c r="A12" s="774">
        <v>10</v>
      </c>
      <c r="B12" s="775" t="s">
        <v>680</v>
      </c>
      <c r="C12" s="780">
        <v>0</v>
      </c>
      <c r="D12" s="780">
        <v>0</v>
      </c>
      <c r="E12" s="781">
        <f>0.12747826*1.18</f>
        <v>0.1504243468</v>
      </c>
      <c r="F12" s="781">
        <f>(0.12747826*1.18)*18/118</f>
        <v>0.022946086799999998</v>
      </c>
      <c r="G12" s="782">
        <f>0.06226275*1.18</f>
        <v>0.073470045</v>
      </c>
      <c r="H12" s="782">
        <f>(0.06226275*1.18)*18/118</f>
        <v>0.011207294999999999</v>
      </c>
      <c r="I12" s="889">
        <f>0.06226275*1.18</f>
        <v>0.073470045</v>
      </c>
      <c r="J12" s="889">
        <f>(0.06226275*1.18)*18/118</f>
        <v>0.011207294999999999</v>
      </c>
      <c r="K12" s="789">
        <f t="shared" si="0"/>
        <v>0.29736443679999996</v>
      </c>
      <c r="L12" s="789">
        <f t="shared" si="1"/>
        <v>0.04536067679999999</v>
      </c>
      <c r="N12" s="896"/>
    </row>
    <row r="13" spans="1:14" ht="30">
      <c r="A13" s="774">
        <v>11</v>
      </c>
      <c r="B13" s="775" t="s">
        <v>681</v>
      </c>
      <c r="C13" s="780">
        <f>0.23513412*1.18</f>
        <v>0.2774582616</v>
      </c>
      <c r="D13" s="780">
        <f>(0.23513412*1.18)*18/118</f>
        <v>0.0423241416</v>
      </c>
      <c r="E13" s="781">
        <f>0.23513412*1.18</f>
        <v>0.2774582616</v>
      </c>
      <c r="F13" s="781">
        <f>(0.23513412*1.18)*18/118</f>
        <v>0.0423241416</v>
      </c>
      <c r="G13" s="782">
        <f>0.23513412*1.18</f>
        <v>0.2774582616</v>
      </c>
      <c r="H13" s="782">
        <f>(0.23513412*1.18)*18/118</f>
        <v>0.0423241416</v>
      </c>
      <c r="I13" s="889">
        <f>0.23513412*1.18</f>
        <v>0.2774582616</v>
      </c>
      <c r="J13" s="889">
        <f>(0.23513412*1.18)*18/118</f>
        <v>0.0423241416</v>
      </c>
      <c r="K13" s="789">
        <f t="shared" si="0"/>
        <v>1.1098330464</v>
      </c>
      <c r="L13" s="789">
        <f t="shared" si="1"/>
        <v>0.1692965664</v>
      </c>
      <c r="N13" s="896"/>
    </row>
    <row r="14" spans="1:14" ht="15.75">
      <c r="A14" s="774">
        <v>12</v>
      </c>
      <c r="B14" s="775" t="s">
        <v>682</v>
      </c>
      <c r="C14" s="780">
        <f>0.5201226*1.18</f>
        <v>0.6137446679999999</v>
      </c>
      <c r="D14" s="780">
        <f>(0.5201226*1.18)*18/118</f>
        <v>0.09362206799999999</v>
      </c>
      <c r="E14" s="781">
        <f>0.5201226*1.18</f>
        <v>0.6137446679999999</v>
      </c>
      <c r="F14" s="781">
        <f>(0.5201226*1.18)*18/118</f>
        <v>0.09362206799999999</v>
      </c>
      <c r="G14" s="782">
        <f>0.5201226*1.18</f>
        <v>0.6137446679999999</v>
      </c>
      <c r="H14" s="782">
        <f>(0.5201226*1.18)*18/118</f>
        <v>0.09362206799999999</v>
      </c>
      <c r="I14" s="889">
        <f>0.5201226*1.18</f>
        <v>0.6137446679999999</v>
      </c>
      <c r="J14" s="889">
        <f>(0.5201226*1.18)*18/118</f>
        <v>0.09362206799999999</v>
      </c>
      <c r="K14" s="789">
        <f t="shared" si="0"/>
        <v>2.4549786719999998</v>
      </c>
      <c r="L14" s="789">
        <f t="shared" si="1"/>
        <v>0.37448827199999996</v>
      </c>
      <c r="N14" s="896"/>
    </row>
    <row r="15" spans="1:14" ht="15.75">
      <c r="A15" s="774">
        <v>13</v>
      </c>
      <c r="B15" s="775" t="s">
        <v>683</v>
      </c>
      <c r="C15" s="780">
        <f>0.23285631*1.18</f>
        <v>0.2747704458</v>
      </c>
      <c r="D15" s="780">
        <f>(0.23285631*1.18)*18/118</f>
        <v>0.041914135799999995</v>
      </c>
      <c r="E15" s="781">
        <f>0.23285631*1.18</f>
        <v>0.2747704458</v>
      </c>
      <c r="F15" s="781">
        <f>(0.23285631*1.18)*18/118</f>
        <v>0.041914135799999995</v>
      </c>
      <c r="G15" s="782">
        <f>0.23285631*1.18</f>
        <v>0.2747704458</v>
      </c>
      <c r="H15" s="782">
        <f>(0.23285631*1.18)*18/118</f>
        <v>0.041914135799999995</v>
      </c>
      <c r="I15" s="889">
        <f>0.23285631*1.18</f>
        <v>0.2747704458</v>
      </c>
      <c r="J15" s="889">
        <f>(0.23285631*1.18)*18/118</f>
        <v>0.041914135799999995</v>
      </c>
      <c r="K15" s="789">
        <f t="shared" si="0"/>
        <v>1.0990817832</v>
      </c>
      <c r="L15" s="789">
        <f t="shared" si="1"/>
        <v>0.16765654319999998</v>
      </c>
      <c r="N15" s="896"/>
    </row>
    <row r="16" spans="1:14" ht="30">
      <c r="A16" s="774">
        <v>14</v>
      </c>
      <c r="B16" s="779" t="s">
        <v>384</v>
      </c>
      <c r="C16" s="780">
        <v>0</v>
      </c>
      <c r="D16" s="780">
        <v>0</v>
      </c>
      <c r="E16" s="781">
        <f>11.19730578*1.18</f>
        <v>13.2128208204</v>
      </c>
      <c r="F16" s="781">
        <f>(11.19730578*1.18)*18/118</f>
        <v>2.0155150404</v>
      </c>
      <c r="G16" s="782">
        <f>19.264252*1.18</f>
        <v>22.731817359999997</v>
      </c>
      <c r="H16" s="782">
        <f>(19.264252*1.18)*18/118</f>
        <v>3.4675653599999996</v>
      </c>
      <c r="I16" s="889">
        <v>0</v>
      </c>
      <c r="J16" s="889">
        <v>0</v>
      </c>
      <c r="K16" s="789">
        <f t="shared" si="0"/>
        <v>35.9446381804</v>
      </c>
      <c r="L16" s="789">
        <f t="shared" si="1"/>
        <v>5.4830804003999996</v>
      </c>
      <c r="N16" s="896"/>
    </row>
    <row r="17" spans="1:14" ht="15.75">
      <c r="A17" s="774">
        <v>15</v>
      </c>
      <c r="B17" s="779" t="s">
        <v>484</v>
      </c>
      <c r="C17" s="780">
        <v>0</v>
      </c>
      <c r="D17" s="780">
        <v>0</v>
      </c>
      <c r="E17" s="781">
        <v>0</v>
      </c>
      <c r="F17" s="781">
        <v>0</v>
      </c>
      <c r="G17" s="782">
        <v>0</v>
      </c>
      <c r="H17" s="782">
        <v>0</v>
      </c>
      <c r="I17" s="889">
        <v>0</v>
      </c>
      <c r="J17" s="889">
        <v>0</v>
      </c>
      <c r="K17" s="789">
        <f t="shared" si="0"/>
        <v>0</v>
      </c>
      <c r="L17" s="789">
        <f t="shared" si="1"/>
        <v>0</v>
      </c>
      <c r="N17" s="896"/>
    </row>
    <row r="18" spans="1:14" ht="45">
      <c r="A18" s="774">
        <v>16</v>
      </c>
      <c r="B18" s="779" t="s">
        <v>690</v>
      </c>
      <c r="C18" s="780">
        <v>0</v>
      </c>
      <c r="D18" s="780">
        <v>0</v>
      </c>
      <c r="E18" s="781">
        <v>0</v>
      </c>
      <c r="F18" s="781">
        <v>0</v>
      </c>
      <c r="G18" s="782">
        <f>3.49</f>
        <v>3.49</v>
      </c>
      <c r="H18" s="782">
        <v>0</v>
      </c>
      <c r="I18" s="889">
        <v>0.14086</v>
      </c>
      <c r="J18" s="889">
        <v>0</v>
      </c>
      <c r="K18" s="789">
        <f t="shared" si="0"/>
        <v>3.63086</v>
      </c>
      <c r="L18" s="789">
        <f t="shared" si="1"/>
        <v>0</v>
      </c>
      <c r="N18" s="896"/>
    </row>
    <row r="19" spans="1:14" ht="30">
      <c r="A19" s="774">
        <v>17</v>
      </c>
      <c r="B19" s="775" t="s">
        <v>685</v>
      </c>
      <c r="C19" s="780">
        <v>0</v>
      </c>
      <c r="D19" s="780">
        <v>0</v>
      </c>
      <c r="E19" s="781">
        <v>0</v>
      </c>
      <c r="F19" s="781">
        <v>0</v>
      </c>
      <c r="G19" s="782">
        <v>0</v>
      </c>
      <c r="H19" s="782">
        <v>0</v>
      </c>
      <c r="I19" s="889">
        <f>2.89748252</f>
        <v>2.89748252</v>
      </c>
      <c r="J19" s="889">
        <v>0</v>
      </c>
      <c r="K19" s="789">
        <f t="shared" si="0"/>
        <v>2.89748252</v>
      </c>
      <c r="L19" s="789">
        <f t="shared" si="1"/>
        <v>0</v>
      </c>
      <c r="N19" s="896"/>
    </row>
    <row r="20" spans="1:14" ht="15.75">
      <c r="A20" s="774">
        <v>18</v>
      </c>
      <c r="B20" s="779" t="s">
        <v>393</v>
      </c>
      <c r="C20" s="780">
        <v>0</v>
      </c>
      <c r="D20" s="780">
        <v>0</v>
      </c>
      <c r="E20" s="781">
        <v>0</v>
      </c>
      <c r="F20" s="781">
        <v>0</v>
      </c>
      <c r="G20" s="782">
        <v>0</v>
      </c>
      <c r="H20" s="782">
        <v>0</v>
      </c>
      <c r="I20" s="889">
        <v>0</v>
      </c>
      <c r="J20" s="889">
        <v>0</v>
      </c>
      <c r="K20" s="789">
        <f t="shared" si="0"/>
        <v>0</v>
      </c>
      <c r="L20" s="789">
        <f t="shared" si="1"/>
        <v>0</v>
      </c>
      <c r="N20" s="896"/>
    </row>
    <row r="21" spans="1:14" ht="15.75">
      <c r="A21" s="784"/>
      <c r="B21" s="785" t="s">
        <v>719</v>
      </c>
      <c r="C21" s="786">
        <f aca="true" t="shared" si="2" ref="C21:H21">SUM(C3:C20)</f>
        <v>3.7871397204</v>
      </c>
      <c r="D21" s="786">
        <f t="shared" si="2"/>
        <v>0.5214979403999999</v>
      </c>
      <c r="E21" s="787">
        <f t="shared" si="2"/>
        <v>18.947729628199998</v>
      </c>
      <c r="F21" s="787">
        <f t="shared" si="2"/>
        <v>2.8903316381999997</v>
      </c>
      <c r="G21" s="788">
        <f t="shared" si="2"/>
        <v>56.295305314400004</v>
      </c>
      <c r="H21" s="788">
        <f t="shared" si="2"/>
        <v>7.930168664400002</v>
      </c>
      <c r="I21" s="890">
        <f>SUM(I3:I20)</f>
        <v>10.750329940799999</v>
      </c>
      <c r="J21" s="890">
        <f>SUM(J3:J20)</f>
        <v>1.1764048607999997</v>
      </c>
      <c r="K21" s="789">
        <f t="shared" si="0"/>
        <v>89.7805046038</v>
      </c>
      <c r="L21" s="789">
        <f t="shared" si="1"/>
        <v>12.5184031038</v>
      </c>
      <c r="N21" s="362" t="b">
        <f>L21=8!D32</f>
        <v>1</v>
      </c>
    </row>
    <row r="23" spans="2:6" ht="15.75">
      <c r="B23" s="773" t="s">
        <v>718</v>
      </c>
      <c r="D23" s="783">
        <v>0.3436375949999997</v>
      </c>
      <c r="F23" s="783">
        <v>2.5750536947999993</v>
      </c>
    </row>
    <row r="25" spans="4:6" ht="15.75">
      <c r="D25" s="783" t="b">
        <f>D21-D23=(D13+D14+D15+D19)</f>
        <v>1</v>
      </c>
      <c r="F25" s="783" t="b">
        <f>F21-F23=(F5+F7+F8+F9+F10+F11+F12+F13+F14+F15+F19)</f>
        <v>1</v>
      </c>
    </row>
    <row r="28" ht="15.75">
      <c r="I28" s="783"/>
    </row>
    <row r="29" ht="15.75">
      <c r="H29" s="783"/>
    </row>
    <row r="30" ht="15.75">
      <c r="I30" s="783"/>
    </row>
  </sheetData>
  <sheetProtection/>
  <mergeCells count="6">
    <mergeCell ref="C2:D2"/>
    <mergeCell ref="A1:A2"/>
    <mergeCell ref="B1:B2"/>
    <mergeCell ref="E2:F2"/>
    <mergeCell ref="G2:H2"/>
    <mergeCell ref="I2:J2"/>
  </mergeCells>
  <printOptions/>
  <pageMargins left="0.7" right="0.7" top="0.75" bottom="0.75" header="0.3" footer="0.3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Корякэнерго</cp:lastModifiedBy>
  <cp:lastPrinted>2017-02-13T21:01:43Z</cp:lastPrinted>
  <dcterms:created xsi:type="dcterms:W3CDTF">2009-07-27T10:10:26Z</dcterms:created>
  <dcterms:modified xsi:type="dcterms:W3CDTF">2017-02-13T21:28:50Z</dcterms:modified>
  <cp:category/>
  <cp:version/>
  <cp:contentType/>
  <cp:contentStatus/>
</cp:coreProperties>
</file>