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SLTARIF\Public\ОТДЕЛ ТЕПЛОВОЙ ЭНЕРГИИ\ИНВЕСТПРОГРАММЫ\2021 год\ВНЕСЕНИЕ ИЗМЕНЕНИЙ\Корякэнерго\с. Апука Олюторского МР\Расчет Службы\"/>
    </mc:Choice>
  </mc:AlternateContent>
  <bookViews>
    <workbookView xWindow="0" yWindow="60" windowWidth="15390" windowHeight="6390" firstSheet="5" activeTab="10"/>
  </bookViews>
  <sheets>
    <sheet name="приложение 1.4" sheetId="42" state="hidden" r:id="rId1"/>
    <sheet name=" 2.3" sheetId="66" state="hidden" r:id="rId2"/>
    <sheet name="6.1. ИП ТС" sheetId="92" state="hidden" r:id="rId3"/>
    <sheet name="6.2. ИП ТС" sheetId="93" state="hidden" r:id="rId4"/>
    <sheet name="содержание" sheetId="97" state="hidden" r:id="rId5"/>
    <sheet name="Паспорт" sheetId="96" r:id="rId6"/>
    <sheet name="2 ИП ТС" sheetId="89" r:id="rId7"/>
    <sheet name="2.2" sheetId="90" state="hidden" r:id="rId8"/>
    <sheet name="3 ИП ТС" sheetId="94" r:id="rId9"/>
    <sheet name="4 ИП ТС" sheetId="95" r:id="rId10"/>
    <sheet name="Финплан" sheetId="70" r:id="rId11"/>
    <sheet name="4.3" sheetId="78" state="hidden" r:id="rId12"/>
    <sheet name="График ввода" sheetId="80" state="hidden" r:id="rId13"/>
    <sheet name="Кредит" sheetId="74" state="hidden" r:id="rId14"/>
    <sheet name="5" sheetId="79" state="hidden" r:id="rId15"/>
    <sheet name="6.1" sheetId="10" state="hidden" r:id="rId16"/>
    <sheet name="6.2" sheetId="7" state="hidden" r:id="rId17"/>
    <sheet name="6.3" sheetId="8" state="hidden" r:id="rId18"/>
    <sheet name="7.1" sheetId="44" state="hidden" r:id="rId19"/>
    <sheet name="7.2" sheetId="47" state="hidden" r:id="rId20"/>
    <sheet name="8" sheetId="45" state="hidden" r:id="rId21"/>
    <sheet name="9" sheetId="46" state="hidden" r:id="rId22"/>
    <sheet name="10" sheetId="38" state="hidden" r:id="rId23"/>
    <sheet name="11.1" sheetId="39" state="hidden" r:id="rId24"/>
    <sheet name="11.2" sheetId="53" state="hidden" r:id="rId25"/>
    <sheet name="12" sheetId="40" state="hidden" r:id="rId26"/>
    <sheet name="13" sheetId="49" state="hidden" r:id="rId27"/>
    <sheet name="Смета" sheetId="84" state="hidden" r:id="rId28"/>
    <sheet name="График амотриз" sheetId="85" state="hidden" r:id="rId29"/>
    <sheet name="Расчет амортизации" sheetId="88" state="hidden" r:id="rId30"/>
  </sheets>
  <externalReferences>
    <externalReference r:id="rId31"/>
  </externalReferences>
  <definedNames>
    <definedName name="_xlnm.Print_Titles" localSheetId="28">'График амотриз'!$A:$B</definedName>
    <definedName name="_xlnm.Print_Titles" localSheetId="12">'График ввода'!$10:$13</definedName>
    <definedName name="_xlnm.Print_Titles" localSheetId="13">Кредит!$5:$5</definedName>
    <definedName name="_xlnm.Print_Titles" localSheetId="29">'Расчет амортизации'!$5:$9</definedName>
    <definedName name="_xlnm.Print_Titles" localSheetId="27">Смета!$6:$8</definedName>
    <definedName name="_xlnm.Print_Titles" localSheetId="10">Финплан!#REF!</definedName>
    <definedName name="_xlnm.Print_Area" localSheetId="6">'2 ИП ТС'!$A$1:$X$63</definedName>
    <definedName name="_xlnm.Print_Area" localSheetId="7">'2.2'!$A$6:$X$24</definedName>
    <definedName name="_xlnm.Print_Area" localSheetId="8">'3 ИП ТС'!$A$1:$N$31</definedName>
    <definedName name="_xlnm.Print_Area" localSheetId="9">'4 ИП ТС'!$A$1:$AO$39</definedName>
    <definedName name="_xlnm.Print_Area" localSheetId="11">'4.3'!$A$1:$I$63</definedName>
    <definedName name="_xlnm.Print_Area" localSheetId="15">'6.1'!$A$1:$M$58</definedName>
    <definedName name="_xlnm.Print_Area" localSheetId="16">'6.2'!$A$1:$E$49</definedName>
    <definedName name="_xlnm.Print_Area" localSheetId="17">'6.3'!$A$1:$J$27</definedName>
    <definedName name="_xlnm.Print_Area" localSheetId="28">'График амотриз'!$A$7:$AI$30</definedName>
    <definedName name="_xlnm.Print_Area" localSheetId="12">'График ввода'!$A$1:$Q$37</definedName>
    <definedName name="_xlnm.Print_Area" localSheetId="13">Кредит!$A$2:$F$134</definedName>
    <definedName name="_xlnm.Print_Area" localSheetId="5">Паспорт!$A$1:$B$22</definedName>
    <definedName name="_xlnm.Print_Area" localSheetId="29">'Расчет амортизации'!$A$1:$O$36</definedName>
    <definedName name="_xlnm.Print_Area" localSheetId="27">Смета!$B$2:$O$132</definedName>
    <definedName name="_xlnm.Print_Area" localSheetId="4">содержание!$A$2:$C$21</definedName>
    <definedName name="_xlnm.Print_Area" localSheetId="10">Финплан!$A$1:$M$30</definedName>
  </definedNames>
  <calcPr calcId="152511"/>
</workbook>
</file>

<file path=xl/calcChain.xml><?xml version="1.0" encoding="utf-8"?>
<calcChain xmlns="http://schemas.openxmlformats.org/spreadsheetml/2006/main">
  <c r="M27" i="70" l="1"/>
  <c r="L27" i="70"/>
  <c r="K27" i="70"/>
  <c r="J27" i="70"/>
  <c r="I27" i="70"/>
  <c r="H27" i="70"/>
  <c r="G27" i="70"/>
  <c r="F27" i="70"/>
  <c r="E27" i="70"/>
  <c r="D25" i="70"/>
  <c r="D24" i="70"/>
  <c r="D23" i="70"/>
  <c r="D22" i="70"/>
  <c r="D21" i="70"/>
  <c r="M20" i="70"/>
  <c r="L20" i="70"/>
  <c r="K20" i="70"/>
  <c r="J20" i="70"/>
  <c r="I20" i="70"/>
  <c r="H20" i="70"/>
  <c r="G20" i="70"/>
  <c r="F20" i="70"/>
  <c r="E20" i="70"/>
  <c r="D20" i="70" s="1"/>
  <c r="D19" i="70"/>
  <c r="D18" i="70"/>
  <c r="K16" i="70"/>
  <c r="J16" i="70"/>
  <c r="I16" i="70"/>
  <c r="H16" i="70"/>
  <c r="G16" i="70"/>
  <c r="F16" i="70"/>
  <c r="E16" i="70"/>
  <c r="M15" i="70"/>
  <c r="M26" i="70" s="1"/>
  <c r="N16" i="94"/>
  <c r="M16" i="94"/>
  <c r="L16" i="94"/>
  <c r="N15" i="94"/>
  <c r="N17" i="94" s="1"/>
  <c r="M15" i="94"/>
  <c r="M17" i="94" s="1"/>
  <c r="L15" i="94"/>
  <c r="L17" i="94" s="1"/>
  <c r="N13" i="94"/>
  <c r="M13" i="94"/>
  <c r="AJ58" i="89"/>
  <c r="X42" i="89"/>
  <c r="X58" i="89" s="1"/>
  <c r="W42" i="89"/>
  <c r="W58" i="89" s="1"/>
  <c r="V42" i="89"/>
  <c r="V58" i="89" s="1"/>
  <c r="U42" i="89"/>
  <c r="U58" i="89" s="1"/>
  <c r="T42" i="89"/>
  <c r="T58" i="89" s="1"/>
  <c r="S42" i="89"/>
  <c r="S58" i="89" s="1"/>
  <c r="R42" i="89"/>
  <c r="R58" i="89" s="1"/>
  <c r="Q42" i="89"/>
  <c r="Q58" i="89" s="1"/>
  <c r="P42" i="89"/>
  <c r="P58" i="89" s="1"/>
  <c r="N42" i="89"/>
  <c r="N58" i="89" s="1"/>
  <c r="M42" i="89"/>
  <c r="L42" i="89"/>
  <c r="AH41" i="89"/>
  <c r="AG41" i="89"/>
  <c r="AF41" i="89"/>
  <c r="AE41" i="89"/>
  <c r="AD41" i="89"/>
  <c r="AC41" i="89"/>
  <c r="AB41" i="89"/>
  <c r="AA41" i="89"/>
  <c r="Z41" i="89"/>
  <c r="AI41" i="89" s="1"/>
  <c r="Y41" i="89"/>
  <c r="K41" i="89"/>
  <c r="AH40" i="89"/>
  <c r="AG40" i="89"/>
  <c r="AF40" i="89"/>
  <c r="AE40" i="89"/>
  <c r="AD40" i="89"/>
  <c r="AC40" i="89"/>
  <c r="AB40" i="89"/>
  <c r="AA40" i="89"/>
  <c r="Z40" i="89"/>
  <c r="Y40" i="89"/>
  <c r="K40" i="89"/>
  <c r="AH39" i="89"/>
  <c r="AG39" i="89"/>
  <c r="AF39" i="89"/>
  <c r="AE39" i="89"/>
  <c r="AD39" i="89"/>
  <c r="AC39" i="89"/>
  <c r="AB39" i="89"/>
  <c r="AA39" i="89"/>
  <c r="Z39" i="89"/>
  <c r="AI39" i="89" s="1"/>
  <c r="Y39" i="89"/>
  <c r="K39" i="89"/>
  <c r="AH38" i="89"/>
  <c r="AG38" i="89"/>
  <c r="AF38" i="89"/>
  <c r="AE38" i="89"/>
  <c r="AD38" i="89"/>
  <c r="AC38" i="89"/>
  <c r="AB38" i="89"/>
  <c r="AA38" i="89"/>
  <c r="Z38" i="89"/>
  <c r="Y38" i="89"/>
  <c r="K38" i="89"/>
  <c r="AH37" i="89"/>
  <c r="AG37" i="89"/>
  <c r="AF37" i="89"/>
  <c r="AE37" i="89"/>
  <c r="AD37" i="89"/>
  <c r="AC37" i="89"/>
  <c r="AB37" i="89"/>
  <c r="AA37" i="89"/>
  <c r="Z37" i="89"/>
  <c r="Y37" i="89"/>
  <c r="K37" i="89"/>
  <c r="AH34" i="89"/>
  <c r="AG34" i="89"/>
  <c r="AF34" i="89"/>
  <c r="AE34" i="89"/>
  <c r="AD34" i="89"/>
  <c r="AC34" i="89"/>
  <c r="AB34" i="89"/>
  <c r="AA34" i="89"/>
  <c r="Z34" i="89"/>
  <c r="Y34" i="89"/>
  <c r="AI34" i="89" s="1"/>
  <c r="X31" i="89"/>
  <c r="X57" i="89" s="1"/>
  <c r="W31" i="89"/>
  <c r="W57" i="89" s="1"/>
  <c r="V31" i="89"/>
  <c r="V57" i="89" s="1"/>
  <c r="U31" i="89"/>
  <c r="U57" i="89" s="1"/>
  <c r="T31" i="89"/>
  <c r="T57" i="89" s="1"/>
  <c r="S31" i="89"/>
  <c r="S57" i="89" s="1"/>
  <c r="R31" i="89"/>
  <c r="R57" i="89" s="1"/>
  <c r="Q31" i="89"/>
  <c r="Q57" i="89" s="1"/>
  <c r="P31" i="89"/>
  <c r="P57" i="89" s="1"/>
  <c r="N31" i="89"/>
  <c r="N57" i="89" s="1"/>
  <c r="M31" i="89"/>
  <c r="M58" i="89" s="1"/>
  <c r="L31" i="89"/>
  <c r="L58" i="89" s="1"/>
  <c r="AH30" i="89"/>
  <c r="AG30" i="89"/>
  <c r="AF30" i="89"/>
  <c r="AE30" i="89"/>
  <c r="AD30" i="89"/>
  <c r="AC30" i="89"/>
  <c r="AB30" i="89"/>
  <c r="Z30" i="89"/>
  <c r="Y30" i="89"/>
  <c r="O30" i="89"/>
  <c r="O31" i="89" s="1"/>
  <c r="AH29" i="89"/>
  <c r="AH31" i="89" s="1"/>
  <c r="AG29" i="89"/>
  <c r="AG31" i="89" s="1"/>
  <c r="AF29" i="89"/>
  <c r="AF31" i="89" s="1"/>
  <c r="AE29" i="89"/>
  <c r="AE31" i="89" s="1"/>
  <c r="AD29" i="89"/>
  <c r="AD31" i="89" s="1"/>
  <c r="AC29" i="89"/>
  <c r="AC31" i="89" s="1"/>
  <c r="AB29" i="89"/>
  <c r="AB31" i="89" s="1"/>
  <c r="AA29" i="89"/>
  <c r="Z29" i="89"/>
  <c r="Z31" i="89" s="1"/>
  <c r="Y29" i="89"/>
  <c r="Y31" i="89" s="1"/>
  <c r="K29" i="89"/>
  <c r="D27" i="70" l="1"/>
  <c r="K42" i="89"/>
  <c r="K58" i="89" s="1"/>
  <c r="Z42" i="89"/>
  <c r="Z58" i="89" s="1"/>
  <c r="AB42" i="89"/>
  <c r="AB58" i="89" s="1"/>
  <c r="AD42" i="89"/>
  <c r="AD58" i="89" s="1"/>
  <c r="AF42" i="89"/>
  <c r="AF58" i="89" s="1"/>
  <c r="AH42" i="89"/>
  <c r="AH58" i="89" s="1"/>
  <c r="K30" i="89"/>
  <c r="K31" i="89" s="1"/>
  <c r="K57" i="89" s="1"/>
  <c r="AA30" i="89"/>
  <c r="AI30" i="89" s="1"/>
  <c r="AJ34" i="89"/>
  <c r="AJ37" i="89"/>
  <c r="AC42" i="89"/>
  <c r="AC58" i="89" s="1"/>
  <c r="AE42" i="89"/>
  <c r="AE58" i="89" s="1"/>
  <c r="AG42" i="89"/>
  <c r="AG58" i="89" s="1"/>
  <c r="AI38" i="89"/>
  <c r="AI40" i="89"/>
  <c r="D16" i="70"/>
  <c r="L13" i="94"/>
  <c r="Y57" i="89"/>
  <c r="Z57" i="89"/>
  <c r="AD57" i="89"/>
  <c r="AH57" i="89"/>
  <c r="AI37" i="89"/>
  <c r="O42" i="89"/>
  <c r="O58" i="89" s="1"/>
  <c r="Y42" i="89"/>
  <c r="M57" i="89"/>
  <c r="AI29" i="89"/>
  <c r="AJ29" i="89"/>
  <c r="L57" i="89"/>
  <c r="D110" i="74"/>
  <c r="D97" i="74"/>
  <c r="D84" i="74"/>
  <c r="D71" i="74"/>
  <c r="D58" i="74"/>
  <c r="D45" i="74"/>
  <c r="D32" i="74"/>
  <c r="D19" i="74"/>
  <c r="D6" i="74"/>
  <c r="F25" i="88"/>
  <c r="F20" i="88"/>
  <c r="Q20" i="88" s="1"/>
  <c r="F19" i="88"/>
  <c r="F16" i="88"/>
  <c r="Q16" i="88" s="1"/>
  <c r="F13" i="88"/>
  <c r="Q24" i="88"/>
  <c r="Q23" i="88"/>
  <c r="Q22" i="88"/>
  <c r="Q21" i="88"/>
  <c r="Q19" i="88"/>
  <c r="Q18" i="88"/>
  <c r="Q17" i="88"/>
  <c r="Q15" i="88"/>
  <c r="Q14" i="88"/>
  <c r="AG57" i="89" l="1"/>
  <c r="AC57" i="89"/>
  <c r="AB57" i="89"/>
  <c r="F11" i="88"/>
  <c r="AI31" i="89"/>
  <c r="AF57" i="89"/>
  <c r="AA42" i="89"/>
  <c r="AA58" i="89" s="1"/>
  <c r="AE57" i="89"/>
  <c r="AA31" i="89"/>
  <c r="O57" i="89"/>
  <c r="AJ42" i="89"/>
  <c r="Y58" i="89"/>
  <c r="AI42" i="89"/>
  <c r="AI58" i="89" s="1"/>
  <c r="F10" i="88"/>
  <c r="F12" i="88" s="1"/>
  <c r="C14" i="97"/>
  <c r="AA57" i="89" l="1"/>
  <c r="AJ31" i="89"/>
  <c r="D57" i="74"/>
  <c r="D56" i="74"/>
  <c r="D55" i="74"/>
  <c r="D54" i="74"/>
  <c r="D53" i="74"/>
  <c r="D52" i="74"/>
  <c r="D51" i="74"/>
  <c r="D50" i="74"/>
  <c r="D49" i="74"/>
  <c r="D48" i="74"/>
  <c r="D47" i="74"/>
  <c r="D46" i="74"/>
  <c r="F112" i="74"/>
  <c r="F111" i="74"/>
  <c r="F99" i="74"/>
  <c r="F98" i="74"/>
  <c r="F86" i="74"/>
  <c r="F85" i="74"/>
  <c r="AJ57" i="89" l="1"/>
  <c r="AI57" i="89"/>
  <c r="C131" i="74"/>
  <c r="M34" i="70"/>
  <c r="L34" i="70"/>
  <c r="L17" i="70" s="1"/>
  <c r="L15" i="70" s="1"/>
  <c r="L26" i="70" s="1"/>
  <c r="K34" i="70"/>
  <c r="K17" i="70" s="1"/>
  <c r="K15" i="70" s="1"/>
  <c r="K26" i="70" s="1"/>
  <c r="J34" i="70"/>
  <c r="J17" i="70" s="1"/>
  <c r="J15" i="70" s="1"/>
  <c r="J26" i="70" s="1"/>
  <c r="I34" i="70"/>
  <c r="I17" i="70" s="1"/>
  <c r="I15" i="70" s="1"/>
  <c r="I26" i="70" s="1"/>
  <c r="H34" i="70"/>
  <c r="H17" i="70" s="1"/>
  <c r="H15" i="70" s="1"/>
  <c r="H26" i="70" s="1"/>
  <c r="G34" i="70"/>
  <c r="G17" i="70" s="1"/>
  <c r="G15" i="70" s="1"/>
  <c r="G26" i="70" s="1"/>
  <c r="F34" i="70"/>
  <c r="F17" i="70" s="1"/>
  <c r="F15" i="70" s="1"/>
  <c r="F26" i="70" s="1"/>
  <c r="E34" i="70"/>
  <c r="E17" i="70" s="1"/>
  <c r="D33" i="70"/>
  <c r="O11" i="88"/>
  <c r="N11" i="88"/>
  <c r="M11" i="88"/>
  <c r="L11" i="88"/>
  <c r="K11" i="88"/>
  <c r="J11" i="88"/>
  <c r="I11" i="88"/>
  <c r="H11" i="88"/>
  <c r="G11" i="88"/>
  <c r="A33" i="88"/>
  <c r="A32" i="88"/>
  <c r="A31" i="88"/>
  <c r="A30" i="88"/>
  <c r="A29" i="88"/>
  <c r="A28" i="88"/>
  <c r="A27" i="88"/>
  <c r="G27" i="85"/>
  <c r="G26" i="85"/>
  <c r="G25" i="85"/>
  <c r="G24" i="85"/>
  <c r="G23" i="85"/>
  <c r="G22" i="85"/>
  <c r="G21" i="85"/>
  <c r="M25" i="88"/>
  <c r="L25" i="88"/>
  <c r="K25" i="88"/>
  <c r="J25" i="88"/>
  <c r="I25" i="88"/>
  <c r="H25" i="88"/>
  <c r="I13" i="88"/>
  <c r="H13" i="88"/>
  <c r="G25" i="88"/>
  <c r="Q25" i="88" s="1"/>
  <c r="G13" i="88"/>
  <c r="H27" i="85"/>
  <c r="H26" i="85"/>
  <c r="H25" i="85"/>
  <c r="H24" i="85"/>
  <c r="H21" i="85"/>
  <c r="M35" i="70"/>
  <c r="M36" i="70" s="1"/>
  <c r="M37" i="70" s="1"/>
  <c r="L35" i="70"/>
  <c r="L36" i="70" s="1"/>
  <c r="L37" i="70" s="1"/>
  <c r="K35" i="70"/>
  <c r="K36" i="70" s="1"/>
  <c r="K37" i="70" s="1"/>
  <c r="J35" i="70"/>
  <c r="J36" i="70" s="1"/>
  <c r="J37" i="70" s="1"/>
  <c r="I35" i="70"/>
  <c r="I36" i="70" s="1"/>
  <c r="I37" i="70" s="1"/>
  <c r="H35" i="70"/>
  <c r="H36" i="70" s="1"/>
  <c r="H37" i="70" s="1"/>
  <c r="G35" i="70"/>
  <c r="G36" i="70" s="1"/>
  <c r="G37" i="70" s="1"/>
  <c r="F35" i="70"/>
  <c r="F36" i="70" s="1"/>
  <c r="F37" i="70" s="1"/>
  <c r="O111" i="84"/>
  <c r="N111" i="84"/>
  <c r="N110" i="84" s="1"/>
  <c r="N117" i="84" s="1"/>
  <c r="N127" i="84" s="1"/>
  <c r="M111" i="84"/>
  <c r="L111" i="84"/>
  <c r="L110" i="84" s="1"/>
  <c r="L117" i="84" s="1"/>
  <c r="L127" i="84" s="1"/>
  <c r="K111" i="84"/>
  <c r="J111" i="84"/>
  <c r="J110" i="84" s="1"/>
  <c r="J117" i="84" s="1"/>
  <c r="J127" i="84" s="1"/>
  <c r="I111" i="84"/>
  <c r="O110" i="84"/>
  <c r="O117" i="84" s="1"/>
  <c r="O127" i="84" s="1"/>
  <c r="M110" i="84"/>
  <c r="M117" i="84" s="1"/>
  <c r="M127" i="84" s="1"/>
  <c r="K110" i="84"/>
  <c r="K117" i="84" s="1"/>
  <c r="K127" i="84" s="1"/>
  <c r="I110" i="84"/>
  <c r="I117" i="84" s="1"/>
  <c r="I127" i="84" s="1"/>
  <c r="O103" i="84"/>
  <c r="N103" i="84"/>
  <c r="N99" i="84" s="1"/>
  <c r="M103" i="84"/>
  <c r="L103" i="84"/>
  <c r="L99" i="84" s="1"/>
  <c r="K103" i="84"/>
  <c r="J103" i="84"/>
  <c r="J99" i="84" s="1"/>
  <c r="I103" i="84"/>
  <c r="O99" i="84"/>
  <c r="M99" i="84"/>
  <c r="K99" i="84"/>
  <c r="I99" i="84"/>
  <c r="O85" i="84"/>
  <c r="N85" i="84"/>
  <c r="M85" i="84"/>
  <c r="L85" i="84"/>
  <c r="K85" i="84"/>
  <c r="J85" i="84"/>
  <c r="I85" i="84"/>
  <c r="O46" i="84"/>
  <c r="N46" i="84"/>
  <c r="M46" i="84"/>
  <c r="L46" i="84"/>
  <c r="K46" i="84"/>
  <c r="J46" i="84"/>
  <c r="I46" i="84"/>
  <c r="O10" i="84"/>
  <c r="N10" i="84"/>
  <c r="M10" i="84"/>
  <c r="L10" i="84"/>
  <c r="K10" i="84"/>
  <c r="J10" i="84"/>
  <c r="I10" i="84"/>
  <c r="H48" i="92"/>
  <c r="G48" i="92"/>
  <c r="H42" i="92"/>
  <c r="G42" i="92"/>
  <c r="H29" i="92"/>
  <c r="G29" i="92"/>
  <c r="H23" i="92"/>
  <c r="H57" i="92" s="1"/>
  <c r="G23" i="92"/>
  <c r="G57" i="92" s="1"/>
  <c r="D127" i="84"/>
  <c r="D129" i="84" s="1"/>
  <c r="Q13" i="88" l="1"/>
  <c r="D17" i="70"/>
  <c r="E15" i="70"/>
  <c r="AG21" i="85"/>
  <c r="AI21" i="85" s="1"/>
  <c r="AA21" i="85"/>
  <c r="AC21" i="85" s="1"/>
  <c r="U21" i="85"/>
  <c r="W21" i="85" s="1"/>
  <c r="K27" i="88" s="1"/>
  <c r="O21" i="85"/>
  <c r="Q21" i="85" s="1"/>
  <c r="I27" i="88" s="1"/>
  <c r="AD21" i="85"/>
  <c r="AF21" i="85" s="1"/>
  <c r="X21" i="85"/>
  <c r="Z21" i="85" s="1"/>
  <c r="R21" i="85"/>
  <c r="T21" i="85" s="1"/>
  <c r="J27" i="88" s="1"/>
  <c r="L21" i="85"/>
  <c r="N21" i="85" s="1"/>
  <c r="H27" i="88" s="1"/>
  <c r="AD24" i="85"/>
  <c r="AF24" i="85" s="1"/>
  <c r="N30" i="88" s="1"/>
  <c r="X24" i="85"/>
  <c r="Z24" i="85" s="1"/>
  <c r="L30" i="88" s="1"/>
  <c r="AG24" i="85"/>
  <c r="AI24" i="85" s="1"/>
  <c r="O30" i="88" s="1"/>
  <c r="AA24" i="85"/>
  <c r="AC24" i="85" s="1"/>
  <c r="M30" i="88" s="1"/>
  <c r="U24" i="85"/>
  <c r="W24" i="85" s="1"/>
  <c r="K30" i="88" s="1"/>
  <c r="AG25" i="85"/>
  <c r="AI25" i="85" s="1"/>
  <c r="O31" i="88" s="1"/>
  <c r="AA25" i="85"/>
  <c r="AC25" i="85" s="1"/>
  <c r="M31" i="88" s="1"/>
  <c r="U25" i="85"/>
  <c r="W25" i="85" s="1"/>
  <c r="K31" i="88" s="1"/>
  <c r="O25" i="85"/>
  <c r="Q25" i="85" s="1"/>
  <c r="I31" i="88" s="1"/>
  <c r="AD25" i="85"/>
  <c r="AF25" i="85" s="1"/>
  <c r="N31" i="88" s="1"/>
  <c r="X25" i="85"/>
  <c r="Z25" i="85" s="1"/>
  <c r="L31" i="88" s="1"/>
  <c r="R25" i="85"/>
  <c r="T25" i="85" s="1"/>
  <c r="J31" i="88" s="1"/>
  <c r="AD26" i="85"/>
  <c r="AF26" i="85" s="1"/>
  <c r="N32" i="88" s="1"/>
  <c r="AG26" i="85"/>
  <c r="AI26" i="85" s="1"/>
  <c r="O32" i="88" s="1"/>
  <c r="AA26" i="85"/>
  <c r="AC26" i="85" s="1"/>
  <c r="M32" i="88" s="1"/>
  <c r="AD27" i="85"/>
  <c r="AF27" i="85" s="1"/>
  <c r="N33" i="88" s="1"/>
  <c r="AG27" i="85"/>
  <c r="AI27" i="85" s="1"/>
  <c r="O33" i="88" s="1"/>
  <c r="B6" i="74"/>
  <c r="B9" i="74" s="1"/>
  <c r="E35" i="70"/>
  <c r="D34" i="70"/>
  <c r="I129" i="84"/>
  <c r="K129" i="84"/>
  <c r="M129" i="84"/>
  <c r="O129" i="84"/>
  <c r="J129" i="84"/>
  <c r="L129" i="84"/>
  <c r="N129" i="84"/>
  <c r="O26" i="88" l="1"/>
  <c r="E26" i="70"/>
  <c r="D26" i="70" s="1"/>
  <c r="D15" i="70"/>
  <c r="H23" i="85"/>
  <c r="H22" i="85"/>
  <c r="E36" i="70"/>
  <c r="D35" i="70"/>
  <c r="AD23" i="85" l="1"/>
  <c r="AF23" i="85" s="1"/>
  <c r="N29" i="88" s="1"/>
  <c r="N26" i="88" s="1"/>
  <c r="U23" i="85"/>
  <c r="W23" i="85" s="1"/>
  <c r="K29" i="88" s="1"/>
  <c r="AG23" i="85"/>
  <c r="AI23" i="85" s="1"/>
  <c r="L23" i="85"/>
  <c r="N23" i="85" s="1"/>
  <c r="H29" i="88" s="1"/>
  <c r="X23" i="85"/>
  <c r="Z23" i="85" s="1"/>
  <c r="L29" i="88" s="1"/>
  <c r="AA23" i="85"/>
  <c r="AC23" i="85" s="1"/>
  <c r="M29" i="88" s="1"/>
  <c r="I23" i="85"/>
  <c r="O23" i="85"/>
  <c r="Q23" i="85" s="1"/>
  <c r="I29" i="88" s="1"/>
  <c r="R23" i="85"/>
  <c r="T23" i="85" s="1"/>
  <c r="J29" i="88" s="1"/>
  <c r="AD22" i="85"/>
  <c r="AF22" i="85" s="1"/>
  <c r="X22" i="85"/>
  <c r="Z22" i="85" s="1"/>
  <c r="L28" i="88" s="1"/>
  <c r="L26" i="88" s="1"/>
  <c r="R22" i="85"/>
  <c r="L22" i="85"/>
  <c r="AG22" i="85"/>
  <c r="AI22" i="85" s="1"/>
  <c r="AA22" i="85"/>
  <c r="AC22" i="85" s="1"/>
  <c r="M28" i="88" s="1"/>
  <c r="M26" i="88" s="1"/>
  <c r="U22" i="85"/>
  <c r="O22" i="85"/>
  <c r="H20" i="85"/>
  <c r="E37" i="70"/>
  <c r="D37" i="70" s="1"/>
  <c r="D36" i="70"/>
  <c r="I20" i="85" l="1"/>
  <c r="K23" i="85"/>
  <c r="Q22" i="85"/>
  <c r="O20" i="85"/>
  <c r="N22" i="85"/>
  <c r="L20" i="85"/>
  <c r="W22" i="85"/>
  <c r="U20" i="85"/>
  <c r="T22" i="85"/>
  <c r="R20" i="85"/>
  <c r="L10" i="88"/>
  <c r="D61" i="74"/>
  <c r="D59" i="74"/>
  <c r="D43" i="74"/>
  <c r="D41" i="74"/>
  <c r="D39" i="74"/>
  <c r="D37" i="74"/>
  <c r="D35" i="74"/>
  <c r="D33" i="74"/>
  <c r="K20" i="85" l="1"/>
  <c r="G29" i="88"/>
  <c r="G26" i="88" s="1"/>
  <c r="J28" i="88"/>
  <c r="J26" i="88" s="1"/>
  <c r="J10" i="88" s="1"/>
  <c r="T20" i="85"/>
  <c r="K28" i="88"/>
  <c r="K26" i="88" s="1"/>
  <c r="K10" i="88" s="1"/>
  <c r="W20" i="85"/>
  <c r="H28" i="88"/>
  <c r="H26" i="88" s="1"/>
  <c r="N20" i="85"/>
  <c r="I28" i="88"/>
  <c r="I26" i="88" s="1"/>
  <c r="Q20" i="85"/>
  <c r="D73" i="74"/>
  <c r="D122" i="74"/>
  <c r="D121" i="74"/>
  <c r="D120" i="74"/>
  <c r="D119" i="74"/>
  <c r="D118" i="74"/>
  <c r="D117" i="74"/>
  <c r="D116" i="74"/>
  <c r="D115" i="74"/>
  <c r="D114" i="74"/>
  <c r="D113" i="74"/>
  <c r="E113" i="74" s="1"/>
  <c r="D112" i="74"/>
  <c r="E112" i="74" s="1"/>
  <c r="D111" i="74"/>
  <c r="E111" i="74" s="1"/>
  <c r="D109" i="74"/>
  <c r="D108" i="74"/>
  <c r="D107" i="74"/>
  <c r="D106" i="74"/>
  <c r="D105" i="74"/>
  <c r="D104" i="74"/>
  <c r="D103" i="74"/>
  <c r="D102" i="74"/>
  <c r="D101" i="74"/>
  <c r="D100" i="74"/>
  <c r="D99" i="74"/>
  <c r="E99" i="74" s="1"/>
  <c r="D98" i="74"/>
  <c r="E98" i="74" s="1"/>
  <c r="D96" i="74"/>
  <c r="D95" i="74"/>
  <c r="D94" i="74"/>
  <c r="D93" i="74"/>
  <c r="D92" i="74"/>
  <c r="D91" i="74"/>
  <c r="D90" i="74"/>
  <c r="D89" i="74"/>
  <c r="D88" i="74"/>
  <c r="D87" i="74"/>
  <c r="D86" i="74"/>
  <c r="E86" i="74" s="1"/>
  <c r="D85" i="74"/>
  <c r="E85" i="74" s="1"/>
  <c r="D83" i="74"/>
  <c r="D82" i="74"/>
  <c r="D81" i="74"/>
  <c r="D80" i="74"/>
  <c r="D79" i="74"/>
  <c r="D78" i="74"/>
  <c r="D77" i="74"/>
  <c r="D76" i="74"/>
  <c r="D75" i="74"/>
  <c r="D74" i="74"/>
  <c r="D72" i="74"/>
  <c r="D34" i="74"/>
  <c r="D36" i="74"/>
  <c r="D38" i="74"/>
  <c r="D40" i="74"/>
  <c r="D42" i="74"/>
  <c r="D44" i="74"/>
  <c r="D60" i="74"/>
  <c r="D62" i="74"/>
  <c r="D64" i="74"/>
  <c r="D66" i="74"/>
  <c r="D68" i="74"/>
  <c r="D70" i="74"/>
  <c r="D63" i="74"/>
  <c r="D65" i="74"/>
  <c r="D67" i="74"/>
  <c r="D69" i="74"/>
  <c r="L12" i="88"/>
  <c r="L21" i="84"/>
  <c r="L9" i="84" s="1"/>
  <c r="M10" i="88"/>
  <c r="G25" i="84"/>
  <c r="H25" i="84" s="1"/>
  <c r="K21" i="84" l="1"/>
  <c r="K9" i="84" s="1"/>
  <c r="K12" i="88"/>
  <c r="J12" i="88"/>
  <c r="J21" i="84"/>
  <c r="J9" i="84" s="1"/>
  <c r="M12" i="88"/>
  <c r="M21" i="84"/>
  <c r="M9" i="84" s="1"/>
  <c r="L130" i="84"/>
  <c r="L131" i="84" s="1"/>
  <c r="L119" i="84"/>
  <c r="N10" i="88"/>
  <c r="G112" i="84"/>
  <c r="G109" i="84"/>
  <c r="H109" i="84" s="1"/>
  <c r="G108" i="84"/>
  <c r="H108" i="84" s="1"/>
  <c r="G101" i="84"/>
  <c r="G98" i="84"/>
  <c r="H98" i="84" s="1"/>
  <c r="G97" i="84"/>
  <c r="H97" i="84" s="1"/>
  <c r="G96" i="84"/>
  <c r="H96" i="84" s="1"/>
  <c r="G95" i="84"/>
  <c r="H95" i="84" s="1"/>
  <c r="G94" i="84"/>
  <c r="H94" i="84" s="1"/>
  <c r="G93" i="84"/>
  <c r="H93" i="84" s="1"/>
  <c r="G92" i="84"/>
  <c r="H92" i="84" s="1"/>
  <c r="G91" i="84"/>
  <c r="H91" i="84" s="1"/>
  <c r="G90" i="84"/>
  <c r="H90" i="84" s="1"/>
  <c r="G89" i="84"/>
  <c r="H89" i="84" s="1"/>
  <c r="G88" i="84"/>
  <c r="H88" i="84" s="1"/>
  <c r="G87" i="84"/>
  <c r="H87" i="84" s="1"/>
  <c r="G86" i="84"/>
  <c r="H86" i="84" s="1"/>
  <c r="G84" i="84"/>
  <c r="H84" i="84" s="1"/>
  <c r="G83" i="84"/>
  <c r="H83" i="84" s="1"/>
  <c r="G82" i="84"/>
  <c r="H82" i="84" s="1"/>
  <c r="G81" i="84"/>
  <c r="H81" i="84" s="1"/>
  <c r="G80" i="84"/>
  <c r="H80" i="84" s="1"/>
  <c r="G79" i="84"/>
  <c r="H79" i="84" s="1"/>
  <c r="G78" i="84"/>
  <c r="H78" i="84" s="1"/>
  <c r="G77" i="84"/>
  <c r="H77" i="84" s="1"/>
  <c r="G76" i="84"/>
  <c r="H76" i="84" s="1"/>
  <c r="G75" i="84"/>
  <c r="H75" i="84" s="1"/>
  <c r="G74" i="84"/>
  <c r="H74" i="84" s="1"/>
  <c r="G73" i="84"/>
  <c r="H73" i="84" s="1"/>
  <c r="G72" i="84"/>
  <c r="H72" i="84" s="1"/>
  <c r="G71" i="84"/>
  <c r="H71" i="84" s="1"/>
  <c r="G70" i="84"/>
  <c r="H70" i="84" s="1"/>
  <c r="G69" i="84"/>
  <c r="H69" i="84" s="1"/>
  <c r="G68" i="84"/>
  <c r="H68" i="84" s="1"/>
  <c r="G67" i="84"/>
  <c r="H67" i="84" s="1"/>
  <c r="G66" i="84"/>
  <c r="H66" i="84" s="1"/>
  <c r="G65" i="84"/>
  <c r="H65" i="84" s="1"/>
  <c r="G64" i="84"/>
  <c r="H64" i="84" s="1"/>
  <c r="G63" i="84"/>
  <c r="H63" i="84" s="1"/>
  <c r="G62" i="84"/>
  <c r="H62" i="84" s="1"/>
  <c r="G61" i="84"/>
  <c r="H61" i="84" s="1"/>
  <c r="G60" i="84"/>
  <c r="H60" i="84" s="1"/>
  <c r="G59" i="84"/>
  <c r="H59" i="84" s="1"/>
  <c r="G58" i="84"/>
  <c r="H58" i="84" s="1"/>
  <c r="G57" i="84"/>
  <c r="H57" i="84" s="1"/>
  <c r="G56" i="84"/>
  <c r="H56" i="84" s="1"/>
  <c r="G55" i="84"/>
  <c r="H55" i="84" s="1"/>
  <c r="G54" i="84"/>
  <c r="H54" i="84" s="1"/>
  <c r="G53" i="84"/>
  <c r="H53" i="84" s="1"/>
  <c r="G52" i="84"/>
  <c r="H52" i="84" s="1"/>
  <c r="G51" i="84"/>
  <c r="H51" i="84" s="1"/>
  <c r="G50" i="84"/>
  <c r="H50" i="84" s="1"/>
  <c r="G49" i="84"/>
  <c r="H49" i="84" s="1"/>
  <c r="G48" i="84"/>
  <c r="H48" i="84" s="1"/>
  <c r="G36" i="84"/>
  <c r="H36" i="84" s="1"/>
  <c r="G35" i="84"/>
  <c r="H35" i="84" s="1"/>
  <c r="G32" i="84"/>
  <c r="H32" i="84" s="1"/>
  <c r="G24" i="84"/>
  <c r="H24" i="84" s="1"/>
  <c r="G23" i="84"/>
  <c r="H23" i="84" s="1"/>
  <c r="G22" i="84"/>
  <c r="H22" i="84" s="1"/>
  <c r="G19" i="84"/>
  <c r="H19" i="84" s="1"/>
  <c r="G18" i="84"/>
  <c r="H18" i="84" s="1"/>
  <c r="G17" i="84"/>
  <c r="H17" i="84" s="1"/>
  <c r="G16" i="84"/>
  <c r="H16" i="84" s="1"/>
  <c r="G15" i="84"/>
  <c r="H15" i="84" s="1"/>
  <c r="G14" i="84"/>
  <c r="H14" i="84" s="1"/>
  <c r="G13" i="84"/>
  <c r="H13" i="84" s="1"/>
  <c r="G12" i="84"/>
  <c r="E10" i="88"/>
  <c r="D10" i="88"/>
  <c r="C10" i="88"/>
  <c r="B10" i="88"/>
  <c r="D130" i="84"/>
  <c r="G85" i="84"/>
  <c r="G46" i="84"/>
  <c r="G30" i="84"/>
  <c r="H103" i="84" l="1"/>
  <c r="C126" i="74"/>
  <c r="K130" i="84"/>
  <c r="K131" i="84" s="1"/>
  <c r="K119" i="84"/>
  <c r="J130" i="84"/>
  <c r="J131" i="84" s="1"/>
  <c r="J119" i="84"/>
  <c r="C128" i="74"/>
  <c r="N12" i="88"/>
  <c r="N21" i="84"/>
  <c r="N9" i="84" s="1"/>
  <c r="M130" i="84"/>
  <c r="M131" i="84" s="1"/>
  <c r="M119" i="84"/>
  <c r="D131" i="84"/>
  <c r="D135" i="84" s="1"/>
  <c r="H12" i="84"/>
  <c r="H10" i="84" s="1"/>
  <c r="G10" i="84"/>
  <c r="H101" i="84"/>
  <c r="H99" i="84" s="1"/>
  <c r="H112" i="84"/>
  <c r="H111" i="84" s="1"/>
  <c r="G111" i="84"/>
  <c r="O10" i="88"/>
  <c r="H85" i="84"/>
  <c r="H46" i="84"/>
  <c r="H30" i="84"/>
  <c r="C127" i="74" l="1"/>
  <c r="C56" i="74"/>
  <c r="C52" i="74"/>
  <c r="C48" i="74"/>
  <c r="C55" i="74"/>
  <c r="C51" i="74"/>
  <c r="C47" i="74"/>
  <c r="C54" i="74"/>
  <c r="C50" i="74"/>
  <c r="C46" i="74"/>
  <c r="C53" i="74"/>
  <c r="C49" i="74"/>
  <c r="C129" i="74"/>
  <c r="C82" i="74"/>
  <c r="C80" i="74"/>
  <c r="C78" i="74"/>
  <c r="C76" i="74"/>
  <c r="C74" i="74"/>
  <c r="C72" i="74"/>
  <c r="C81" i="74"/>
  <c r="C79" i="74"/>
  <c r="C77" i="74"/>
  <c r="C75" i="74"/>
  <c r="C73" i="74"/>
  <c r="O12" i="88"/>
  <c r="O21" i="84"/>
  <c r="O9" i="84" s="1"/>
  <c r="N130" i="84"/>
  <c r="N131" i="84" s="1"/>
  <c r="N119" i="84"/>
  <c r="G56" i="74" l="1"/>
  <c r="C57" i="74" s="1"/>
  <c r="C68" i="74"/>
  <c r="C64" i="74"/>
  <c r="C60" i="74"/>
  <c r="C67" i="74"/>
  <c r="C63" i="74"/>
  <c r="C59" i="74"/>
  <c r="C66" i="74"/>
  <c r="C62" i="74"/>
  <c r="C69" i="74"/>
  <c r="C65" i="74"/>
  <c r="C61" i="74"/>
  <c r="G82" i="74"/>
  <c r="C83" i="74" s="1"/>
  <c r="C130" i="74"/>
  <c r="C94" i="74"/>
  <c r="C92" i="74"/>
  <c r="C90" i="74"/>
  <c r="C88" i="74"/>
  <c r="C95" i="74"/>
  <c r="C93" i="74"/>
  <c r="C91" i="74"/>
  <c r="C89" i="74"/>
  <c r="C87" i="74"/>
  <c r="O130" i="84"/>
  <c r="O131" i="84" s="1"/>
  <c r="O119" i="84"/>
  <c r="Z20" i="85"/>
  <c r="X20" i="85"/>
  <c r="AC20" i="85"/>
  <c r="AA20" i="85"/>
  <c r="AI20" i="85"/>
  <c r="AG20" i="85"/>
  <c r="AF20" i="85"/>
  <c r="AD20" i="85"/>
  <c r="G69" i="74" l="1"/>
  <c r="C70" i="74" s="1"/>
  <c r="C108" i="74"/>
  <c r="C106" i="74"/>
  <c r="C104" i="74"/>
  <c r="C102" i="74"/>
  <c r="C100" i="74"/>
  <c r="C107" i="74"/>
  <c r="C105" i="74"/>
  <c r="C103" i="74"/>
  <c r="C101" i="74"/>
  <c r="G95" i="74"/>
  <c r="C96" i="74" s="1"/>
  <c r="D18" i="74"/>
  <c r="G108" i="74" l="1"/>
  <c r="C109" i="74" s="1"/>
  <c r="D7" i="74"/>
  <c r="E7" i="74" s="1"/>
  <c r="D8" i="74"/>
  <c r="D31" i="74"/>
  <c r="D30" i="74"/>
  <c r="D29" i="74"/>
  <c r="D28" i="74"/>
  <c r="D27" i="74"/>
  <c r="D26" i="74"/>
  <c r="D25" i="74"/>
  <c r="D24" i="74"/>
  <c r="D23" i="74"/>
  <c r="D22" i="74"/>
  <c r="D21" i="74"/>
  <c r="D20" i="74"/>
  <c r="F7" i="74"/>
  <c r="D9" i="74"/>
  <c r="D10" i="74"/>
  <c r="D11" i="74"/>
  <c r="D12" i="74"/>
  <c r="D13" i="74"/>
  <c r="D14" i="74"/>
  <c r="D15" i="74"/>
  <c r="D16" i="74"/>
  <c r="D17" i="74"/>
  <c r="I10" i="88" l="1"/>
  <c r="I21" i="84" s="1"/>
  <c r="I9" i="84" s="1"/>
  <c r="G10" i="88"/>
  <c r="H10" i="88"/>
  <c r="H21" i="84" s="1"/>
  <c r="G12" i="88" l="1"/>
  <c r="G21" i="84"/>
  <c r="G9" i="84" s="1"/>
  <c r="I130" i="84"/>
  <c r="I131" i="84" s="1"/>
  <c r="I119" i="84"/>
  <c r="H12" i="88"/>
  <c r="I12" i="88"/>
  <c r="G116" i="84" l="1"/>
  <c r="G110" i="84" s="1"/>
  <c r="G117" i="84" s="1"/>
  <c r="G127" i="84" s="1"/>
  <c r="G129" i="84" s="1"/>
  <c r="H9" i="84"/>
  <c r="H130" i="84" s="1"/>
  <c r="C124" i="74" l="1"/>
  <c r="C125" i="74"/>
  <c r="H131" i="84"/>
  <c r="H135" i="84" s="1"/>
  <c r="H116" i="84"/>
  <c r="H110" i="84" s="1"/>
  <c r="H117" i="84" s="1"/>
  <c r="H127" i="84" s="1"/>
  <c r="H129" i="84" s="1"/>
  <c r="H121" i="84"/>
  <c r="C42" i="74" l="1"/>
  <c r="C40" i="74"/>
  <c r="C38" i="74"/>
  <c r="C36" i="74"/>
  <c r="C34" i="74"/>
  <c r="C43" i="74"/>
  <c r="C41" i="74"/>
  <c r="C39" i="74"/>
  <c r="C37" i="74"/>
  <c r="C35" i="74"/>
  <c r="C33" i="74"/>
  <c r="C29" i="74"/>
  <c r="C24" i="74"/>
  <c r="C28" i="74"/>
  <c r="C23" i="74"/>
  <c r="C27" i="74"/>
  <c r="C26" i="74"/>
  <c r="C25" i="74"/>
  <c r="C22" i="74"/>
  <c r="C30" i="74"/>
  <c r="C123" i="74"/>
  <c r="H119" i="84"/>
  <c r="G30" i="74" l="1"/>
  <c r="C31" i="74" s="1"/>
  <c r="G43" i="74"/>
  <c r="C44" i="74" s="1"/>
  <c r="C9" i="74"/>
  <c r="C17" i="74"/>
  <c r="C14" i="74"/>
  <c r="C11" i="74"/>
  <c r="C12" i="74"/>
  <c r="C16" i="74"/>
  <c r="C13" i="74"/>
  <c r="C10" i="74"/>
  <c r="C132" i="74"/>
  <c r="C15" i="74"/>
  <c r="E8" i="74"/>
  <c r="G17" i="74" l="1"/>
  <c r="C18" i="74" s="1"/>
  <c r="L30" i="80"/>
  <c r="I30" i="80"/>
  <c r="G34" i="80"/>
  <c r="K34" i="80" s="1"/>
  <c r="G33" i="80"/>
  <c r="N33" i="80" s="1"/>
  <c r="G32" i="80"/>
  <c r="N32" i="80" s="1"/>
  <c r="G31" i="80"/>
  <c r="K31" i="80" s="1"/>
  <c r="G29" i="80"/>
  <c r="G28" i="80"/>
  <c r="K28" i="80" s="1"/>
  <c r="G27" i="80"/>
  <c r="N27" i="80" s="1"/>
  <c r="G26" i="80"/>
  <c r="K26" i="80" s="1"/>
  <c r="G25" i="80"/>
  <c r="K25" i="80" s="1"/>
  <c r="G24" i="80"/>
  <c r="G23" i="80"/>
  <c r="G22" i="80"/>
  <c r="G21" i="80"/>
  <c r="G20" i="80"/>
  <c r="K20" i="80" s="1"/>
  <c r="G19" i="80"/>
  <c r="G18" i="80"/>
  <c r="G17" i="80"/>
  <c r="G16" i="80"/>
  <c r="T34" i="80"/>
  <c r="R34" i="80"/>
  <c r="S27" i="80"/>
  <c r="S26" i="80"/>
  <c r="S24" i="80"/>
  <c r="S22" i="80"/>
  <c r="S21" i="80"/>
  <c r="S20" i="80"/>
  <c r="S19" i="80"/>
  <c r="S18" i="80"/>
  <c r="S17" i="80"/>
  <c r="S16" i="80"/>
  <c r="H29" i="80"/>
  <c r="O29" i="80" s="1"/>
  <c r="E43" i="78"/>
  <c r="F43" i="78"/>
  <c r="G43" i="78"/>
  <c r="H43" i="78"/>
  <c r="E50" i="78"/>
  <c r="E61" i="78" s="1"/>
  <c r="F50" i="78"/>
  <c r="F61" i="78" s="1"/>
  <c r="G50" i="78"/>
  <c r="G61" i="78" s="1"/>
  <c r="H50" i="78"/>
  <c r="H61" i="78" s="1"/>
  <c r="E60" i="78"/>
  <c r="F60" i="78"/>
  <c r="G60" i="78"/>
  <c r="H60" i="78"/>
  <c r="H19" i="66"/>
  <c r="H20" i="66" s="1"/>
  <c r="C21" i="66"/>
  <c r="B43" i="66"/>
  <c r="C44" i="66" s="1"/>
  <c r="L44" i="66" s="1"/>
  <c r="C48" i="66"/>
  <c r="C70" i="66" s="1"/>
  <c r="D48" i="66"/>
  <c r="E48" i="66"/>
  <c r="A51" i="66"/>
  <c r="C52" i="66"/>
  <c r="D52" i="66"/>
  <c r="E52" i="66"/>
  <c r="C53" i="66"/>
  <c r="D53" i="66"/>
  <c r="E53" i="66"/>
  <c r="C54" i="66"/>
  <c r="D54" i="66"/>
  <c r="E54" i="66"/>
  <c r="C55" i="66"/>
  <c r="L55" i="66"/>
  <c r="L56" i="66" s="1"/>
  <c r="L57" i="66" s="1"/>
  <c r="C64" i="66"/>
  <c r="D64" i="66"/>
  <c r="E64" i="66"/>
  <c r="C65" i="66"/>
  <c r="D65" i="66"/>
  <c r="E65" i="66"/>
  <c r="C66" i="66"/>
  <c r="D66" i="66"/>
  <c r="E66" i="66"/>
  <c r="C67" i="66"/>
  <c r="D67" i="66"/>
  <c r="E67" i="66"/>
  <c r="C68" i="66"/>
  <c r="D70" i="66"/>
  <c r="C71" i="66"/>
  <c r="C79" i="66"/>
  <c r="D79" i="66"/>
  <c r="E79" i="66"/>
  <c r="H17" i="80"/>
  <c r="O17" i="80" s="1"/>
  <c r="H18" i="80"/>
  <c r="L18" i="80" s="1"/>
  <c r="N18" i="80" s="1"/>
  <c r="H19" i="80"/>
  <c r="O19" i="80" s="1"/>
  <c r="H21" i="80"/>
  <c r="O21" i="80" s="1"/>
  <c r="H24" i="80"/>
  <c r="L24" i="80" s="1"/>
  <c r="N24" i="80" s="1"/>
  <c r="H25" i="80"/>
  <c r="O25" i="80" s="1"/>
  <c r="H26" i="80"/>
  <c r="L26" i="80" s="1"/>
  <c r="N26" i="80" s="1"/>
  <c r="H28" i="80"/>
  <c r="O28" i="80" s="1"/>
  <c r="H31" i="80"/>
  <c r="O31" i="80" s="1"/>
  <c r="H32" i="80"/>
  <c r="O32" i="80" s="1"/>
  <c r="H33" i="80"/>
  <c r="O33" i="80" s="1"/>
  <c r="H34" i="80"/>
  <c r="O34" i="80" s="1"/>
  <c r="Q34" i="80" s="1"/>
  <c r="E70" i="66" l="1"/>
  <c r="H17" i="66"/>
  <c r="C42" i="66"/>
  <c r="D42" i="66" s="1"/>
  <c r="C45" i="66"/>
  <c r="K32" i="80"/>
  <c r="K27" i="80"/>
  <c r="K33" i="80"/>
  <c r="N31" i="80"/>
  <c r="N34" i="80"/>
  <c r="H20" i="80"/>
  <c r="L20" i="80" s="1"/>
  <c r="N20" i="80" s="1"/>
  <c r="H27" i="80"/>
  <c r="O27" i="80" s="1"/>
  <c r="Q27" i="80" s="1"/>
  <c r="H23" i="80"/>
  <c r="O23" i="80" s="1"/>
  <c r="Q23" i="80" s="1"/>
  <c r="T23" i="80" s="1"/>
  <c r="H22" i="80"/>
  <c r="L22" i="80" s="1"/>
  <c r="N22" i="80" s="1"/>
  <c r="Q17" i="80"/>
  <c r="R17" i="80"/>
  <c r="Q19" i="80"/>
  <c r="T19" i="80" s="1"/>
  <c r="R19" i="80"/>
  <c r="Q21" i="80"/>
  <c r="T21" i="80" s="1"/>
  <c r="R21" i="80"/>
  <c r="Q25" i="80"/>
  <c r="T25" i="80" s="1"/>
  <c r="R25" i="80"/>
  <c r="Q29" i="80"/>
  <c r="R29" i="80"/>
  <c r="T29" i="80" s="1"/>
  <c r="Q32" i="80"/>
  <c r="T32" i="80" s="1"/>
  <c r="R32" i="80"/>
  <c r="R28" i="80"/>
  <c r="Q28" i="80"/>
  <c r="O30" i="80"/>
  <c r="Q31" i="80"/>
  <c r="R31" i="80"/>
  <c r="Q33" i="80"/>
  <c r="T33" i="80" s="1"/>
  <c r="R33" i="80"/>
  <c r="H30" i="80"/>
  <c r="I17" i="80"/>
  <c r="K17" i="80" s="1"/>
  <c r="I19" i="80"/>
  <c r="K19" i="80" s="1"/>
  <c r="I24" i="80"/>
  <c r="K24" i="80" s="1"/>
  <c r="L17" i="80"/>
  <c r="N17" i="80" s="1"/>
  <c r="L19" i="80"/>
  <c r="N19" i="80" s="1"/>
  <c r="L21" i="80"/>
  <c r="N21" i="80" s="1"/>
  <c r="L23" i="80"/>
  <c r="N23" i="80" s="1"/>
  <c r="L25" i="80"/>
  <c r="N25" i="80" s="1"/>
  <c r="L28" i="80"/>
  <c r="N28" i="80" s="1"/>
  <c r="O18" i="80"/>
  <c r="O20" i="80"/>
  <c r="O22" i="80"/>
  <c r="O24" i="80"/>
  <c r="O26" i="80"/>
  <c r="I18" i="80"/>
  <c r="K18" i="80" s="1"/>
  <c r="I21" i="80"/>
  <c r="K21" i="80" s="1"/>
  <c r="I29" i="80"/>
  <c r="K29" i="80" s="1"/>
  <c r="L29" i="80"/>
  <c r="N29" i="80" s="1"/>
  <c r="C72" i="66"/>
  <c r="C73" i="66" s="1"/>
  <c r="D68" i="66"/>
  <c r="E68" i="66" s="1"/>
  <c r="D45" i="66"/>
  <c r="D69" i="66"/>
  <c r="E69" i="66" s="1"/>
  <c r="H16" i="80"/>
  <c r="L16" i="80" s="1"/>
  <c r="N16" i="80" s="1"/>
  <c r="D31" i="78"/>
  <c r="D44" i="66" l="1"/>
  <c r="I23" i="80"/>
  <c r="K23" i="80" s="1"/>
  <c r="V17" i="80"/>
  <c r="U17" i="80"/>
  <c r="T17" i="80"/>
  <c r="W17" i="80"/>
  <c r="I22" i="80"/>
  <c r="K22" i="80" s="1"/>
  <c r="K30" i="80"/>
  <c r="N30" i="80"/>
  <c r="R23" i="80"/>
  <c r="R30" i="80"/>
  <c r="H15" i="80"/>
  <c r="O16" i="80"/>
  <c r="O15" i="80" s="1"/>
  <c r="O14" i="80" s="1"/>
  <c r="I16" i="80"/>
  <c r="K16" i="80" s="1"/>
  <c r="Q26" i="80"/>
  <c r="T26" i="80" s="1"/>
  <c r="R26" i="80"/>
  <c r="Q22" i="80"/>
  <c r="T22" i="80" s="1"/>
  <c r="R22" i="80"/>
  <c r="Q18" i="80"/>
  <c r="T18" i="80" s="1"/>
  <c r="R18" i="80"/>
  <c r="T28" i="80"/>
  <c r="T27" i="80" s="1"/>
  <c r="R27" i="80"/>
  <c r="L15" i="80"/>
  <c r="L14" i="80" s="1"/>
  <c r="R24" i="80"/>
  <c r="Q24" i="80"/>
  <c r="T24" i="80" s="1"/>
  <c r="Q20" i="80"/>
  <c r="T20" i="80" s="1"/>
  <c r="R20" i="80"/>
  <c r="Q30" i="80"/>
  <c r="T31" i="80"/>
  <c r="N15" i="80"/>
  <c r="C76" i="66"/>
  <c r="C78" i="66"/>
  <c r="C47" i="78"/>
  <c r="C60" i="78" s="1"/>
  <c r="B42" i="78"/>
  <c r="B43" i="78" s="1"/>
  <c r="C42" i="78"/>
  <c r="C43" i="78" s="1"/>
  <c r="C31" i="78"/>
  <c r="D42" i="78"/>
  <c r="D43" i="78" s="1"/>
  <c r="N14" i="80" l="1"/>
  <c r="M44" i="66"/>
  <c r="D72" i="66"/>
  <c r="D73" i="66" s="1"/>
  <c r="D76" i="66" s="1"/>
  <c r="E45" i="66"/>
  <c r="E42" i="66"/>
  <c r="E44" i="66" s="1"/>
  <c r="D16" i="78"/>
  <c r="K15" i="80"/>
  <c r="K14" i="80" s="1"/>
  <c r="H40" i="80"/>
  <c r="H42" i="80" s="1"/>
  <c r="H14" i="80"/>
  <c r="Q16" i="80"/>
  <c r="Q15" i="80" s="1"/>
  <c r="Q14" i="80" s="1"/>
  <c r="R16" i="80"/>
  <c r="R15" i="80" s="1"/>
  <c r="I15" i="80"/>
  <c r="I14" i="80" s="1"/>
  <c r="T16" i="80"/>
  <c r="T30" i="80"/>
  <c r="I43" i="78"/>
  <c r="I42" i="78"/>
  <c r="D77" i="66"/>
  <c r="C77" i="66"/>
  <c r="C80" i="66" s="1"/>
  <c r="B47" i="78"/>
  <c r="D78" i="66"/>
  <c r="D47" i="78"/>
  <c r="N44" i="66" l="1"/>
  <c r="E72" i="66"/>
  <c r="E73" i="66" s="1"/>
  <c r="C16" i="78"/>
  <c r="C14" i="78" s="1"/>
  <c r="B16" i="78"/>
  <c r="B14" i="78" s="1"/>
  <c r="E16" i="78"/>
  <c r="D14" i="78"/>
  <c r="V15" i="80"/>
  <c r="J40" i="80"/>
  <c r="T15" i="80"/>
  <c r="B60" i="78"/>
  <c r="D80" i="66"/>
  <c r="D60" i="78"/>
  <c r="I47" i="78"/>
  <c r="E76" i="66" l="1"/>
  <c r="E77" i="66" s="1"/>
  <c r="E80" i="66" s="1"/>
  <c r="E78" i="66"/>
  <c r="H18" i="66"/>
  <c r="F16" i="78"/>
  <c r="E14" i="78"/>
  <c r="F14" i="78" l="1"/>
  <c r="G16" i="78"/>
  <c r="G14" i="78" l="1"/>
  <c r="H16" i="78"/>
  <c r="H14" i="78" s="1"/>
  <c r="I16" i="78" l="1"/>
  <c r="I14" i="78"/>
  <c r="B22" i="78" l="1"/>
  <c r="B21" i="78" l="1"/>
  <c r="B31" i="78" l="1"/>
  <c r="B23" i="78" l="1"/>
  <c r="B32" i="78" s="1"/>
  <c r="B33" i="78" s="1"/>
  <c r="B34" i="78" s="1"/>
  <c r="B49" i="78" l="1"/>
  <c r="F8" i="74" l="1"/>
  <c r="F9" i="74" s="1"/>
  <c r="B10" i="74" s="1"/>
  <c r="B11" i="78"/>
  <c r="B10" i="78" s="1"/>
  <c r="B50" i="78"/>
  <c r="E9" i="74" l="1"/>
  <c r="F10" i="74"/>
  <c r="B11" i="74" s="1"/>
  <c r="E10" i="74"/>
  <c r="B61" i="78"/>
  <c r="B20" i="78"/>
  <c r="B24" i="78" s="1"/>
  <c r="B28" i="78"/>
  <c r="B39" i="78" s="1"/>
  <c r="B51" i="78" s="1"/>
  <c r="B57" i="78" s="1"/>
  <c r="C59" i="78" s="1"/>
  <c r="F11" i="74" l="1"/>
  <c r="B12" i="74" s="1"/>
  <c r="E11" i="74"/>
  <c r="K34" i="78"/>
  <c r="E12" i="74" l="1"/>
  <c r="F12" i="74"/>
  <c r="B13" i="74" s="1"/>
  <c r="F13" i="74" l="1"/>
  <c r="B14" i="74" s="1"/>
  <c r="E13" i="74"/>
  <c r="E14" i="74" l="1"/>
  <c r="F14" i="74"/>
  <c r="B15" i="74" s="1"/>
  <c r="E15" i="74" l="1"/>
  <c r="F15" i="74"/>
  <c r="B16" i="74" s="1"/>
  <c r="E16" i="74" l="1"/>
  <c r="F16" i="74"/>
  <c r="B17" i="74" s="1"/>
  <c r="F17" i="74" l="1"/>
  <c r="B18" i="74" s="1"/>
  <c r="E17" i="74"/>
  <c r="E18" i="74" l="1"/>
  <c r="E123" i="74" s="1"/>
  <c r="F18" i="74"/>
  <c r="F19" i="74" s="1"/>
  <c r="B19" i="74" s="1"/>
  <c r="B22" i="74" s="1"/>
  <c r="E20" i="74" l="1"/>
  <c r="C22" i="78" l="1"/>
  <c r="C21" i="78" l="1"/>
  <c r="C23" i="78" l="1"/>
  <c r="D23" i="78"/>
  <c r="D49" i="78"/>
  <c r="D50" i="78" s="1"/>
  <c r="D61" i="78" s="1"/>
  <c r="F20" i="74" l="1"/>
  <c r="C11" i="78"/>
  <c r="C49" i="78"/>
  <c r="C32" i="78"/>
  <c r="F23" i="78"/>
  <c r="E23" i="78"/>
  <c r="G23" i="78"/>
  <c r="H23" i="78"/>
  <c r="F21" i="74" l="1"/>
  <c r="E21" i="74"/>
  <c r="I23" i="78"/>
  <c r="C33" i="78"/>
  <c r="C34" i="78" s="1"/>
  <c r="C10" i="78"/>
  <c r="I49" i="78"/>
  <c r="C50" i="78"/>
  <c r="E22" i="74" l="1"/>
  <c r="F22" i="74"/>
  <c r="B23" i="74" s="1"/>
  <c r="C28" i="78"/>
  <c r="C20" i="78"/>
  <c r="C61" i="78"/>
  <c r="I50" i="78"/>
  <c r="F23" i="74" l="1"/>
  <c r="B24" i="74" s="1"/>
  <c r="E23" i="74"/>
  <c r="C39" i="78"/>
  <c r="C24" i="78"/>
  <c r="F24" i="74" l="1"/>
  <c r="B25" i="74" s="1"/>
  <c r="E24" i="74"/>
  <c r="C51" i="78"/>
  <c r="F25" i="74" l="1"/>
  <c r="B26" i="74" s="1"/>
  <c r="E25" i="74"/>
  <c r="C57" i="78"/>
  <c r="F26" i="74" l="1"/>
  <c r="B27" i="74" s="1"/>
  <c r="E26" i="74"/>
  <c r="D59" i="78"/>
  <c r="F27" i="74" l="1"/>
  <c r="B28" i="74" s="1"/>
  <c r="E27" i="74"/>
  <c r="F28" i="74" l="1"/>
  <c r="B29" i="74" s="1"/>
  <c r="E28" i="74"/>
  <c r="D22" i="78"/>
  <c r="F29" i="74" l="1"/>
  <c r="B30" i="74" s="1"/>
  <c r="E29" i="74"/>
  <c r="E22" i="78"/>
  <c r="F22" i="78" s="1"/>
  <c r="G22" i="78" s="1"/>
  <c r="H22" i="78" s="1"/>
  <c r="F30" i="74" l="1"/>
  <c r="B31" i="74" s="1"/>
  <c r="E30" i="74"/>
  <c r="I22" i="78"/>
  <c r="D21" i="78"/>
  <c r="F31" i="74" l="1"/>
  <c r="H31" i="74" s="1"/>
  <c r="E31" i="74"/>
  <c r="E124" i="74" s="1"/>
  <c r="D11" i="78"/>
  <c r="E21" i="78"/>
  <c r="D32" i="78"/>
  <c r="F32" i="74" l="1"/>
  <c r="B32" i="74" s="1"/>
  <c r="B33" i="74" s="1"/>
  <c r="E33" i="74" s="1"/>
  <c r="D33" i="78"/>
  <c r="D34" i="78" s="1"/>
  <c r="F21" i="78"/>
  <c r="E32" i="78"/>
  <c r="E11" i="78"/>
  <c r="D10" i="78"/>
  <c r="F32" i="78" l="1"/>
  <c r="E33" i="78"/>
  <c r="E34" i="78" s="1"/>
  <c r="E10" i="78"/>
  <c r="F11" i="78"/>
  <c r="G21" i="78"/>
  <c r="H21" i="78" s="1"/>
  <c r="D20" i="78"/>
  <c r="D28" i="78"/>
  <c r="I32" i="78"/>
  <c r="I33" i="78" s="1"/>
  <c r="I34" i="78" s="1"/>
  <c r="I21" i="78" l="1"/>
  <c r="G11" i="78"/>
  <c r="F10" i="78"/>
  <c r="D24" i="78"/>
  <c r="E20" i="78"/>
  <c r="E24" i="78" s="1"/>
  <c r="E28" i="78"/>
  <c r="E39" i="78" s="1"/>
  <c r="E51" i="78" s="1"/>
  <c r="E57" i="78" s="1"/>
  <c r="F33" i="78"/>
  <c r="F34" i="78" s="1"/>
  <c r="G32" i="78"/>
  <c r="D39" i="78"/>
  <c r="D51" i="78" l="1"/>
  <c r="I39" i="78"/>
  <c r="G33" i="78"/>
  <c r="G34" i="78" s="1"/>
  <c r="H32" i="78"/>
  <c r="H33" i="78" s="1"/>
  <c r="H34" i="78" s="1"/>
  <c r="G10" i="78"/>
  <c r="H11" i="78"/>
  <c r="F20" i="78"/>
  <c r="F24" i="78" s="1"/>
  <c r="F28" i="78"/>
  <c r="H10" i="78" l="1"/>
  <c r="I11" i="78"/>
  <c r="I10" i="78" s="1"/>
  <c r="G20" i="78"/>
  <c r="G28" i="78"/>
  <c r="G39" i="78" s="1"/>
  <c r="G51" i="78" s="1"/>
  <c r="G57" i="78" s="1"/>
  <c r="D57" i="78"/>
  <c r="I51" i="78"/>
  <c r="F39" i="78"/>
  <c r="F51" i="78" s="1"/>
  <c r="F57" i="78" s="1"/>
  <c r="E59" i="78" l="1"/>
  <c r="F59" i="78" s="1"/>
  <c r="G59" i="78" s="1"/>
  <c r="H59" i="78" s="1"/>
  <c r="I57" i="78"/>
  <c r="G24" i="78"/>
  <c r="H28" i="78"/>
  <c r="H20" i="78"/>
  <c r="H24" i="78" s="1"/>
  <c r="H39" i="78" l="1"/>
  <c r="H51" i="78" s="1"/>
  <c r="H57" i="78" s="1"/>
  <c r="I28" i="78"/>
  <c r="I20" i="78"/>
  <c r="I24" i="78"/>
  <c r="G103" i="84"/>
  <c r="G99" i="84" s="1"/>
  <c r="G119" i="84" s="1"/>
  <c r="G130" i="84" l="1"/>
  <c r="G131" i="84" s="1"/>
  <c r="G135" i="84" l="1"/>
  <c r="F113" i="74" l="1"/>
  <c r="F114" i="74" l="1"/>
  <c r="E114" i="74"/>
  <c r="F115" i="74" l="1"/>
  <c r="E115" i="74"/>
  <c r="F116" i="74" l="1"/>
  <c r="E116" i="74"/>
  <c r="E117" i="74" l="1"/>
  <c r="F117" i="74"/>
  <c r="F118" i="74" l="1"/>
  <c r="E118" i="74"/>
  <c r="E119" i="74" l="1"/>
  <c r="F119" i="74"/>
  <c r="E120" i="74" l="1"/>
  <c r="F120" i="74"/>
  <c r="F121" i="74" l="1"/>
  <c r="E121" i="74"/>
  <c r="E122" i="74" l="1"/>
  <c r="E131" i="74" s="1"/>
  <c r="F122" i="74"/>
  <c r="G121" i="84" l="1"/>
  <c r="F33" i="74" l="1"/>
  <c r="B34" i="74" s="1"/>
  <c r="F34" i="74" l="1"/>
  <c r="B35" i="74" s="1"/>
  <c r="E34" i="74"/>
  <c r="E35" i="74" l="1"/>
  <c r="F35" i="74"/>
  <c r="B36" i="74" s="1"/>
  <c r="E36" i="74" l="1"/>
  <c r="F36" i="74"/>
  <c r="B37" i="74" s="1"/>
  <c r="F37" i="74" l="1"/>
  <c r="B38" i="74" s="1"/>
  <c r="E37" i="74"/>
  <c r="E38" i="74" l="1"/>
  <c r="F38" i="74"/>
  <c r="B39" i="74" s="1"/>
  <c r="E39" i="74" l="1"/>
  <c r="F39" i="74"/>
  <c r="B40" i="74" s="1"/>
  <c r="F40" i="74" l="1"/>
  <c r="B41" i="74" s="1"/>
  <c r="E40" i="74"/>
  <c r="F41" i="74" l="1"/>
  <c r="B42" i="74" s="1"/>
  <c r="E41" i="74"/>
  <c r="E42" i="74" l="1"/>
  <c r="F42" i="74"/>
  <c r="B43" i="74" s="1"/>
  <c r="E43" i="74" l="1"/>
  <c r="F43" i="74"/>
  <c r="B44" i="74" s="1"/>
  <c r="E44" i="74" l="1"/>
  <c r="E125" i="74" s="1"/>
  <c r="F44" i="74"/>
  <c r="F45" i="74" l="1"/>
  <c r="B45" i="74" s="1"/>
  <c r="B46" i="74" s="1"/>
  <c r="F46" i="74" s="1"/>
  <c r="B47" i="74" s="1"/>
  <c r="H44" i="74"/>
  <c r="E46" i="74" l="1"/>
  <c r="E47" i="74"/>
  <c r="F47" i="74"/>
  <c r="B48" i="74" s="1"/>
  <c r="E48" i="74" l="1"/>
  <c r="F48" i="74"/>
  <c r="B49" i="74" s="1"/>
  <c r="E49" i="74" l="1"/>
  <c r="F49" i="74"/>
  <c r="B50" i="74" s="1"/>
  <c r="E50" i="74" l="1"/>
  <c r="F50" i="74"/>
  <c r="B51" i="74" s="1"/>
  <c r="E51" i="74" l="1"/>
  <c r="F51" i="74"/>
  <c r="B52" i="74" s="1"/>
  <c r="E52" i="74" l="1"/>
  <c r="F52" i="74"/>
  <c r="B53" i="74" s="1"/>
  <c r="E53" i="74" l="1"/>
  <c r="F53" i="74"/>
  <c r="B54" i="74" s="1"/>
  <c r="E54" i="74" l="1"/>
  <c r="F54" i="74"/>
  <c r="B55" i="74" s="1"/>
  <c r="E55" i="74" l="1"/>
  <c r="F55" i="74"/>
  <c r="B56" i="74" s="1"/>
  <c r="E56" i="74" l="1"/>
  <c r="F56" i="74"/>
  <c r="B57" i="74" s="1"/>
  <c r="F57" i="74" l="1"/>
  <c r="F58" i="74" s="1"/>
  <c r="B58" i="74" s="1"/>
  <c r="B59" i="74" s="1"/>
  <c r="E57" i="74"/>
  <c r="E126" i="74" s="1"/>
  <c r="F59" i="74" l="1"/>
  <c r="B60" i="74" s="1"/>
  <c r="E59" i="74"/>
  <c r="F60" i="74" l="1"/>
  <c r="B61" i="74" s="1"/>
  <c r="E60" i="74"/>
  <c r="F61" i="74" l="1"/>
  <c r="B62" i="74" s="1"/>
  <c r="E61" i="74"/>
  <c r="E62" i="74" l="1"/>
  <c r="F62" i="74"/>
  <c r="B63" i="74" s="1"/>
  <c r="F63" i="74" l="1"/>
  <c r="B64" i="74" s="1"/>
  <c r="E63" i="74"/>
  <c r="E64" i="74" l="1"/>
  <c r="F64" i="74"/>
  <c r="B65" i="74" s="1"/>
  <c r="F65" i="74" l="1"/>
  <c r="B66" i="74" s="1"/>
  <c r="E65" i="74"/>
  <c r="E66" i="74" l="1"/>
  <c r="F66" i="74"/>
  <c r="B67" i="74" s="1"/>
  <c r="F67" i="74" l="1"/>
  <c r="B68" i="74" s="1"/>
  <c r="E67" i="74"/>
  <c r="F68" i="74" l="1"/>
  <c r="B69" i="74" s="1"/>
  <c r="E68" i="74"/>
  <c r="F69" i="74" l="1"/>
  <c r="B70" i="74" s="1"/>
  <c r="E69" i="74"/>
  <c r="F70" i="74" l="1"/>
  <c r="F71" i="74" s="1"/>
  <c r="B71" i="74" s="1"/>
  <c r="B72" i="74" s="1"/>
  <c r="E70" i="74"/>
  <c r="E127" i="74" s="1"/>
  <c r="F72" i="74" l="1"/>
  <c r="B73" i="74" s="1"/>
  <c r="E72" i="74"/>
  <c r="F73" i="74" l="1"/>
  <c r="B74" i="74" s="1"/>
  <c r="E73" i="74"/>
  <c r="E74" i="74" l="1"/>
  <c r="F74" i="74"/>
  <c r="B75" i="74" s="1"/>
  <c r="E75" i="74" l="1"/>
  <c r="F75" i="74"/>
  <c r="B76" i="74" s="1"/>
  <c r="F76" i="74" l="1"/>
  <c r="B77" i="74" s="1"/>
  <c r="E76" i="74"/>
  <c r="F77" i="74" l="1"/>
  <c r="B78" i="74" s="1"/>
  <c r="E77" i="74"/>
  <c r="E78" i="74" l="1"/>
  <c r="F78" i="74"/>
  <c r="B79" i="74" s="1"/>
  <c r="F79" i="74" l="1"/>
  <c r="B80" i="74" s="1"/>
  <c r="E79" i="74"/>
  <c r="E80" i="74" l="1"/>
  <c r="F80" i="74"/>
  <c r="B81" i="74" s="1"/>
  <c r="E81" i="74" l="1"/>
  <c r="F81" i="74"/>
  <c r="B82" i="74" s="1"/>
  <c r="F82" i="74" l="1"/>
  <c r="B83" i="74" s="1"/>
  <c r="E82" i="74"/>
  <c r="F83" i="74" l="1"/>
  <c r="F84" i="74" s="1"/>
  <c r="B84" i="74" s="1"/>
  <c r="B87" i="74" s="1"/>
  <c r="E83" i="74"/>
  <c r="E128" i="74" s="1"/>
  <c r="E87" i="74" l="1"/>
  <c r="F87" i="74"/>
  <c r="B88" i="74" s="1"/>
  <c r="F88" i="74" l="1"/>
  <c r="B89" i="74" s="1"/>
  <c r="E88" i="74"/>
  <c r="F89" i="74" l="1"/>
  <c r="B90" i="74" s="1"/>
  <c r="E89" i="74"/>
  <c r="E90" i="74" l="1"/>
  <c r="F90" i="74"/>
  <c r="B91" i="74" s="1"/>
  <c r="F91" i="74" l="1"/>
  <c r="B92" i="74" s="1"/>
  <c r="E91" i="74"/>
  <c r="F92" i="74" l="1"/>
  <c r="B93" i="74" s="1"/>
  <c r="E92" i="74"/>
  <c r="E93" i="74" l="1"/>
  <c r="F93" i="74"/>
  <c r="B94" i="74" s="1"/>
  <c r="E94" i="74" l="1"/>
  <c r="F94" i="74"/>
  <c r="B95" i="74" s="1"/>
  <c r="E95" i="74" l="1"/>
  <c r="F95" i="74"/>
  <c r="B96" i="74" s="1"/>
  <c r="F96" i="74" l="1"/>
  <c r="F97" i="74" s="1"/>
  <c r="B97" i="74" s="1"/>
  <c r="B100" i="74" s="1"/>
  <c r="E96" i="74"/>
  <c r="E129" i="74" s="1"/>
  <c r="F100" i="74" l="1"/>
  <c r="B101" i="74" s="1"/>
  <c r="E100" i="74"/>
  <c r="F101" i="74" l="1"/>
  <c r="B102" i="74" s="1"/>
  <c r="E101" i="74"/>
  <c r="E102" i="74" l="1"/>
  <c r="F102" i="74"/>
  <c r="B103" i="74" s="1"/>
  <c r="E103" i="74" l="1"/>
  <c r="F103" i="74"/>
  <c r="B104" i="74" s="1"/>
  <c r="E104" i="74" l="1"/>
  <c r="F104" i="74"/>
  <c r="B105" i="74" s="1"/>
  <c r="E105" i="74" l="1"/>
  <c r="F105" i="74"/>
  <c r="B106" i="74" s="1"/>
  <c r="E106" i="74" l="1"/>
  <c r="F106" i="74"/>
  <c r="B107" i="74" s="1"/>
  <c r="E107" i="74" l="1"/>
  <c r="F107" i="74"/>
  <c r="B108" i="74" s="1"/>
  <c r="F108" i="74" l="1"/>
  <c r="B109" i="74" s="1"/>
  <c r="E108" i="74"/>
  <c r="E109" i="74" l="1"/>
  <c r="E130" i="74" s="1"/>
  <c r="F109" i="74"/>
  <c r="F110" i="74" s="1"/>
  <c r="B110" i="74" s="1"/>
  <c r="E132" i="74" l="1"/>
  <c r="I132" i="74" l="1"/>
  <c r="H132" i="74"/>
</calcChain>
</file>

<file path=xl/comments1.xml><?xml version="1.0" encoding="utf-8"?>
<comments xmlns="http://schemas.openxmlformats.org/spreadsheetml/2006/main">
  <authors>
    <author>fin2</author>
  </authors>
  <commentList>
    <comment ref="H10" authorId="0" shapeId="0">
      <text>
        <r>
          <rPr>
            <b/>
            <sz val="8"/>
            <color indexed="81"/>
            <rFont val="Tahoma"/>
            <family val="2"/>
            <charset val="204"/>
          </rPr>
          <t>fin2: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Данные сопоставимы с таблицами 1.1 и 1.2, но без НДС</t>
        </r>
      </text>
    </comment>
  </commentList>
</comments>
</file>

<file path=xl/comments2.xml><?xml version="1.0" encoding="utf-8"?>
<comments xmlns="http://schemas.openxmlformats.org/spreadsheetml/2006/main">
  <authors>
    <author>fin2</author>
  </authors>
  <commentList>
    <comment ref="C20" authorId="0" shapeId="0">
      <text>
        <r>
          <rPr>
            <b/>
            <sz val="8"/>
            <color indexed="81"/>
            <rFont val="Tahoma"/>
            <family val="2"/>
            <charset val="204"/>
          </rPr>
          <t>fin2:</t>
        </r>
        <r>
          <rPr>
            <sz val="8"/>
            <color indexed="81"/>
            <rFont val="Tahoma"/>
            <family val="2"/>
            <charset val="204"/>
          </rPr>
          <t xml:space="preserve">
только покупная горячая вода</t>
        </r>
      </text>
    </comment>
  </commentList>
</comments>
</file>

<file path=xl/comments3.xml><?xml version="1.0" encoding="utf-8"?>
<comments xmlns="http://schemas.openxmlformats.org/spreadsheetml/2006/main">
  <authors>
    <author>fin2</author>
  </authors>
  <commentList>
    <comment ref="H16" authorId="0" shapeId="0">
      <text>
        <r>
          <rPr>
            <b/>
            <sz val="8"/>
            <color indexed="81"/>
            <rFont val="Tahoma"/>
            <family val="2"/>
            <charset val="204"/>
          </rPr>
          <t>fin2: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Данные сопоставимы с таблицами 1.1 и 1.2, но без НДС</t>
        </r>
      </text>
    </comment>
  </commentList>
</comments>
</file>

<file path=xl/sharedStrings.xml><?xml version="1.0" encoding="utf-8"?>
<sst xmlns="http://schemas.openxmlformats.org/spreadsheetml/2006/main" count="2455" uniqueCount="1301">
  <si>
    <t>Заявка в сетевую компанию на технологическое присоединение</t>
  </si>
  <si>
    <t>Заключение договора с сетевой компанией на ТП. Получение и соглаование ТУ и ТП</t>
  </si>
  <si>
    <t>Разработка и согласование предпроектной внестадийной работы "Схема выдачи мощности"</t>
  </si>
  <si>
    <t>5.4.</t>
  </si>
  <si>
    <t>Заключение договора на реалиацию схемы выдачи мощности с согласованием графика строительства</t>
  </si>
  <si>
    <t>5.5.</t>
  </si>
  <si>
    <t>Разработка рабочей документацией сетевого строительства ГК (если таковое требуется для реализации СВМ)</t>
  </si>
  <si>
    <t>5.6.</t>
  </si>
  <si>
    <t>Реализация сетевого строительства ГК (если таковое требуется для реализации СВМ)</t>
  </si>
  <si>
    <t>Испытания и ввод в эксплуатацию</t>
  </si>
  <si>
    <t xml:space="preserve">Индивидуальные испытания оборудования и функциональные испытания отдельных систем. </t>
  </si>
  <si>
    <t>Комплексное опробование оборудования</t>
  </si>
  <si>
    <t>Готовность оборудования (ОРУ, ЗРУ) для технологического присоединения к электрическим сетям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</si>
  <si>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</si>
  <si>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>II. Контрольные этапы реализации инвестиционного проекта для сетевых компаний</t>
  </si>
  <si>
    <t>Предпроектный и проектный этап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</si>
  <si>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</si>
  <si>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</si>
  <si>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</si>
  <si>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</si>
  <si>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1.5.</t>
  </si>
  <si>
    <t>Утверждение проектной документации</t>
  </si>
  <si>
    <t>1.6.</t>
  </si>
  <si>
    <t>Разработка рабочей документации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</si>
  <si>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</si>
  <si>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</si>
  <si>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</si>
  <si>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</si>
  <si>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я</t>
  </si>
  <si>
    <t>Подготовка площадки строительства для подстанций, трассы – для ЛЭП</t>
  </si>
  <si>
    <t>Поставка основного оборудования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</si>
  <si>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</si>
  <si>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</si>
  <si>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</si>
  <si>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</si>
  <si>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</si>
  <si>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 xml:space="preserve">Комплексное опробование оборудования </t>
  </si>
  <si>
    <t>Оформление (подписание) актов об осуществлении технологического присоединения к электрическим сетям</t>
  </si>
  <si>
    <t xml:space="preserve">Получение разрешения на ввод объекта в эксплуатацию. </t>
  </si>
  <si>
    <t xml:space="preserve"> Ввод в эксплуатацию объекта сетевого строительства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</si>
  <si>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</si>
  <si>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</si>
  <si>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</si>
  <si>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Увеличение кредиторской задолженности</t>
  </si>
  <si>
    <t>Сокращение кредиторской задолженности</t>
  </si>
  <si>
    <t>Расходы по текущей деятельности, всего</t>
  </si>
  <si>
    <t>Платежи по аренде и лизингу</t>
  </si>
  <si>
    <t>Инфраструктурные платежи рынка</t>
  </si>
  <si>
    <t>Валовая прибыль (I р.-II р.)</t>
  </si>
  <si>
    <t>XV.</t>
  </si>
  <si>
    <t>XVI.</t>
  </si>
  <si>
    <t>XVII.</t>
  </si>
  <si>
    <t>Доходы от участия в других организациях (дивиденды от ДЗО)</t>
  </si>
  <si>
    <t>Проценты от размещения средств</t>
  </si>
  <si>
    <t>Проценты по обслуживанию кредитов</t>
  </si>
  <si>
    <t>Фонд накопления</t>
  </si>
  <si>
    <t>Резервный фонд</t>
  </si>
  <si>
    <t>Выплата дивидендов</t>
  </si>
  <si>
    <t>Прочие расходы из прибыли</t>
  </si>
  <si>
    <t>Финансирование инвестиционной программы</t>
  </si>
  <si>
    <t>Прочие цели (расшифровка)</t>
  </si>
  <si>
    <t>Инвестиционной программе</t>
  </si>
  <si>
    <t>Изменение дебиторской задолженности</t>
  </si>
  <si>
    <t>Изменение кредиторской задолженности</t>
  </si>
  <si>
    <t>Направления использования чистой прибыли</t>
  </si>
  <si>
    <t>Сальдо  (+профицит; - дефицит) 
(XVI р. - XVII р.)</t>
  </si>
  <si>
    <t>Топливо</t>
  </si>
  <si>
    <t>Сырье, материалы, запасные части, инструменты</t>
  </si>
  <si>
    <t>Покупная электроэнергия</t>
  </si>
  <si>
    <t>Выручка от прочей деятельности (расшифровать)</t>
  </si>
  <si>
    <t>Купля/продажа активов</t>
  </si>
  <si>
    <t>Покупка активов (акций, долей и т.п.)</t>
  </si>
  <si>
    <t>Продажа активов (акций, долей и т.п.)</t>
  </si>
  <si>
    <t>Создание систем противоаварийной и режимной автоматики</t>
  </si>
  <si>
    <t>Средства, полученные от допэмиссии акций</t>
  </si>
  <si>
    <t>Технические характеристики</t>
  </si>
  <si>
    <t>Сроки 
реализации 
проекта</t>
  </si>
  <si>
    <t>№ 
п/п</t>
  </si>
  <si>
    <t>Заключение 
Главгос
экспертизы 
России (+;-)</t>
  </si>
  <si>
    <t>Разрешение 
на строи
тельство (+;-)</t>
  </si>
  <si>
    <t>мощность, 
МВт, МВА</t>
  </si>
  <si>
    <t>выработка, млн.кВт/ч</t>
  </si>
  <si>
    <t>длина 
ВЛ,
км</t>
  </si>
  <si>
    <t>Наименование направления/
проекта 
инвестиционной 
программы</t>
  </si>
  <si>
    <t>Год начала
строительства</t>
  </si>
  <si>
    <t>Год ввода в 
эксплуатацию</t>
  </si>
  <si>
    <t>Наличие исходно-разрешительной документации</t>
  </si>
  <si>
    <t>Ставка по кредиту,%</t>
  </si>
  <si>
    <t>Полная 
стоимость 
строительства              (без НДС)</t>
  </si>
  <si>
    <t>Утвержденная  
проектно-сметная 
документация
(+;-)</t>
  </si>
  <si>
    <t>Оформленный 
в соответствии 
с законо
дательством 
землеотвод (+;-)</t>
  </si>
  <si>
    <t>к приказу Минэнерго России</t>
  </si>
  <si>
    <t>Утверждаю</t>
  </si>
  <si>
    <t>руководитель организации</t>
  </si>
  <si>
    <t>(подпись)</t>
  </si>
  <si>
    <t>«___»________ 20__ года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</si>
  <si>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</si>
  <si>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</si>
  <si>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</si>
  <si>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</si>
  <si>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</si>
  <si>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</si>
  <si>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</si>
  <si>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Отчет об исполнении финансового плана
(заполняется по финансированию)</t>
  </si>
  <si>
    <t>год N-2</t>
  </si>
  <si>
    <t>год N-1</t>
  </si>
  <si>
    <t>от «___»________2010 г. №____</t>
  </si>
  <si>
    <t>Приложение  № 8</t>
  </si>
  <si>
    <t>Приложение  № 10</t>
  </si>
  <si>
    <t>для ОГК/ТГК, в том числе</t>
  </si>
  <si>
    <t>ДПМ</t>
  </si>
  <si>
    <t>вне ДПМ</t>
  </si>
  <si>
    <t>Приложение  № 12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</si>
  <si>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</si>
  <si>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</si>
  <si>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</si>
  <si>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</si>
  <si>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</si>
  <si>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</si>
  <si>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</si>
  <si>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</si>
  <si>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</si>
  <si>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 xml:space="preserve">2. </t>
  </si>
  <si>
    <t xml:space="preserve">3. 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</si>
  <si>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</si>
  <si>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</si>
  <si>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</si>
  <si>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</si>
  <si>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Введено оформлено актами ввода в эксплуатацию)
млн.рублей</t>
  </si>
  <si>
    <t>1.1.4.</t>
  </si>
  <si>
    <t>Выручка от основной деятельности 
(расшифровать по видам регулируемой деятельности)</t>
  </si>
  <si>
    <t>Уровень тарифов</t>
  </si>
  <si>
    <t>Местоположение объекта (субъект РФ, населенный пункт)</t>
  </si>
  <si>
    <t>Тип проекта</t>
  </si>
  <si>
    <t>[модернизация/ реконструкция/ новое строительство/расширение]</t>
  </si>
  <si>
    <t>Вводимая мощность (в том числе прирост)</t>
  </si>
  <si>
    <t>Срок ввода объекта</t>
  </si>
  <si>
    <t>[срок, установленный инвестиционной программой]</t>
  </si>
  <si>
    <t>Фактическая стадия реализации проекта на отчётную дату</t>
  </si>
  <si>
    <t>[проектирование/ строительство/ незавершенное строительство – приостановлено/ законсервировано]</t>
  </si>
  <si>
    <t>Проектная документация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</si>
  <si>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</si>
  <si>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</si>
  <si>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документа**)</t>
  </si>
  <si>
    <t>Землеотвод</t>
  </si>
  <si>
    <t xml:space="preserve"> - наличие землеотвода (кем, когда утверждено, реквизиты документа)</t>
  </si>
  <si>
    <t>Исходно-разрешительная документация</t>
  </si>
  <si>
    <t xml:space="preserve"> - наличие разрешения на строительство (кем, когда выдано, реквизиты документа)</t>
  </si>
  <si>
    <t>Прогнозное/ проектное топливо (основное и резервное)</t>
  </si>
  <si>
    <t>[вид, тип топлива, заключение договоров на поставку топлива]</t>
  </si>
  <si>
    <t>Прогнозный объем потребления топлива</t>
  </si>
  <si>
    <t>Топливообеспечение</t>
  </si>
  <si>
    <t>[наличие подтверждения возможности поставки необходимых объемов топлива, стадия согласования с поставщиком/транспортировщиком топлива, наличие каких-либо проблем с топливообеспечением объекта, наличие согласования топливного режима с указанием даты, начиная с которой подтверждено обеспечение топливом]</t>
  </si>
  <si>
    <t>Технологическое присоединение объекта к электрической сети:</t>
  </si>
  <si>
    <t xml:space="preserve"> - заключение договора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</si>
  <si>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</si>
  <si>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</si>
  <si>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</si>
  <si>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Сметная стоимость проекта в ценах _____ 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</si>
  <si>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</si>
  <si>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</si>
  <si>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отчётную дату договоров по проекту, млн. руб.</t>
  </si>
  <si>
    <t xml:space="preserve"> - по договорам подряда (в разбивке по каждому подрядчику и по договорам):</t>
  </si>
  <si>
    <t>объем заключенного договора в ценах ______ года с НДС, млн. руб.</t>
  </si>
  <si>
    <t>% от сметной стоимости проекта</t>
  </si>
  <si>
    <t>оплачено по договору, млн. руб.</t>
  </si>
  <si>
    <t>освоено по договору, млн. руб.</t>
  </si>
  <si>
    <t xml:space="preserve"> - по договорам поставки основного оборудования (в разбивке по каждому поставщику и по договорам):</t>
  </si>
  <si>
    <t xml:space="preserve"> 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</si>
  <si>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</si>
  <si>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 xml:space="preserve"> - СМР, %</t>
  </si>
  <si>
    <t xml:space="preserve"> - поставка основного оборудования, %</t>
  </si>
  <si>
    <t xml:space="preserve"> - разработка проектной документации и рабочей документации, %</t>
  </si>
  <si>
    <t>% оплаты по объекту(предоплата)</t>
  </si>
  <si>
    <t>всего оплачено по объекту</t>
  </si>
  <si>
    <t>%  освоения по объекту за отчетный период</t>
  </si>
  <si>
    <t>всего освоено по объекту</t>
  </si>
  <si>
    <t>Участники реализации инвестиционного проекта:</t>
  </si>
  <si>
    <t>[юридическое лицо, вид услуг/ подряда, предмет договора, дата заключения/ расторжения и номер договора/ соглашений к договору]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</si>
  <si>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</si>
  <si>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</si>
  <si>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</si>
  <si>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</si>
  <si>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</si>
  <si>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</si>
  <si>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 строительства энергообъекта</t>
  </si>
  <si>
    <t xml:space="preserve"> - строительный персонал</t>
  </si>
  <si>
    <t xml:space="preserve"> - монтажный персонал</t>
  </si>
  <si>
    <t>Основное оборудование</t>
  </si>
  <si>
    <t>[наименование, количество, краткие технические характеристики, сроки изготовления/ поставки, место хранения]</t>
  </si>
  <si>
    <t>График поставки основного оборудования</t>
  </si>
  <si>
    <t xml:space="preserve"> - дата поставки</t>
  </si>
  <si>
    <t xml:space="preserve"> - задержки в поставке</t>
  </si>
  <si>
    <t xml:space="preserve"> - причины задержек</t>
  </si>
  <si>
    <t>Фактическое состояние реализации инвестиционного проекта в срок</t>
  </si>
  <si>
    <t>[возможность реализации в установленный срок, отставание от установленного срока, причины отставания, возможный срок ввода объекта]</t>
  </si>
  <si>
    <t>Факты и события, влияющие на ход реализации проекта, проблемные вопросы:</t>
  </si>
  <si>
    <t>[описание факта или события, ссылки на документы, влияние факта/ события на срок реализации проекта в месяцах, принятые меры по устранению причин отставаний и выявленных нарушений, исключающие их повторение]</t>
  </si>
  <si>
    <t xml:space="preserve"> - выявленные нарушения договоров подряда,</t>
  </si>
  <si>
    <t xml:space="preserve"> - рекламации к заводам - изготовителям и поставщикам,</t>
  </si>
  <si>
    <t xml:space="preserve"> - предписания надзорных органов,</t>
  </si>
  <si>
    <t xml:space="preserve"> - дефицит источников финансирования и др.,</t>
  </si>
  <si>
    <t xml:space="preserve"> - другое (расшифровать)</t>
  </si>
  <si>
    <t>* Если выполняется любой из нижеперечисленных критериев:</t>
  </si>
  <si>
    <t xml:space="preserve">     1. Проекты, финансируемые полностью или частично за счет средств федерального бюджета, и/или включенные в Федеральные целевые программы.</t>
  </si>
  <si>
    <t xml:space="preserve">     2. Объекты выдачи мощности ТЭС, ГЭС, АЭС.</t>
  </si>
  <si>
    <t xml:space="preserve">     3. Генерирующие объекты мощностью свыше 100 МВт.</t>
  </si>
  <si>
    <t xml:space="preserve">     4. Проекты, имеющие федеральное значение (объекты энергоснабжения Олимпиады в г. Сочи, саммита АТЭС в г. Владивосток, ВСТО и др.).</t>
  </si>
  <si>
    <t xml:space="preserve">     5. Проекты сметной стоимостью свыше 3 млрд. руб. (в текущих ценах с НДС)</t>
  </si>
  <si>
    <t xml:space="preserve">     6. Объекты, предусмотренные Генеральной схемой размещения объектов электроэнергетики до 2020 года.</t>
  </si>
  <si>
    <t>** Копии положительного заключения Госэкспертизы по ПСД, сводного сметного расчета  необходимо представить в Минэнерго России</t>
  </si>
  <si>
    <t xml:space="preserve">Отчетный период ____________ 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</si>
  <si>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</si>
  <si>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</si>
  <si>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</si>
  <si>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</si>
  <si>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</si>
  <si>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</si>
  <si>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</si>
  <si>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</si>
  <si>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</si>
  <si>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</si>
  <si>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</si>
  <si>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Финансовые показатели за отчетный период [__ квартал ________ года/ ______ год]</t>
  </si>
  <si>
    <t>Наименование показателя</t>
  </si>
  <si>
    <t xml:space="preserve">Метод учета </t>
  </si>
  <si>
    <t>На конец отчетного квартала/За отчетный квартал</t>
  </si>
  <si>
    <t>Стоимость ос при завершении строительства</t>
  </si>
  <si>
    <t>сумма аммортизационных отчислений в текущем году</t>
  </si>
  <si>
    <t>Годовая норма амортизационных отчислений,%</t>
  </si>
  <si>
    <t>Аммортизация</t>
  </si>
  <si>
    <t>кол-во месяцев для начисления аммортизации</t>
  </si>
  <si>
    <t xml:space="preserve">На конец 2009 года / За 2009 год 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</si>
  <si>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</si>
  <si>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</si>
  <si>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</si>
  <si>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</si>
  <si>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другое (расшифровать) 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</si>
  <si>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</si>
  <si>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</si>
  <si>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</si>
  <si>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</si>
  <si>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</si>
  <si>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</si>
  <si>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</si>
  <si>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</si>
  <si>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</si>
  <si>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</si>
  <si>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</si>
  <si>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</si>
  <si>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</si>
  <si>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</si>
  <si>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</si>
  <si>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</si>
  <si>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</si>
  <si>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</si>
  <si>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</si>
  <si>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</si>
  <si>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</si>
  <si>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</si>
  <si>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</si>
  <si>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 xml:space="preserve">    на 2010 г. </t>
  </si>
  <si>
    <t xml:space="preserve">    на период 2010-2012 гг.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</si>
  <si>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</si>
  <si>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</t>
  </si>
  <si>
    <t>Приложение  № 9</t>
  </si>
  <si>
    <t xml:space="preserve">Остаток стоимости на начало года * </t>
  </si>
  <si>
    <t>Осталось профинансировать по результатам отчетного периода *</t>
  </si>
  <si>
    <t>Объем ввода мощностей</t>
  </si>
  <si>
    <t>Причины 
корректировки</t>
  </si>
  <si>
    <t>скорректированный объем</t>
  </si>
  <si>
    <t>скорр
ектирова
нный объем</t>
  </si>
  <si>
    <t>Наименование объекта*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</si>
  <si>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</si>
  <si>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</si>
  <si>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</si>
  <si>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</si>
  <si>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</si>
  <si>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</si>
  <si>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</si>
  <si>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</si>
  <si>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</si>
  <si>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</si>
  <si>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</si>
  <si>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</si>
  <si>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</si>
  <si>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</si>
  <si>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</si>
  <si>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</si>
  <si>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 xml:space="preserve"> </t>
  </si>
  <si>
    <t xml:space="preserve">Объект 1 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</si>
  <si>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</si>
  <si>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</si>
  <si>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Приложение  № 1.4</t>
  </si>
  <si>
    <t>Приложение  № 6.1</t>
  </si>
  <si>
    <t>Приложение  № 6.2</t>
  </si>
  <si>
    <t>Приложение  № 6.3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</si>
  <si>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</si>
  <si>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</si>
  <si>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</si>
  <si>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</si>
  <si>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план***</t>
  </si>
  <si>
    <t>** - в ценах отчетного года</t>
  </si>
  <si>
    <t>*** - план, согласно утвержденной инвестиционной программе</t>
  </si>
  <si>
    <t>Приложение  № 13</t>
  </si>
  <si>
    <t>Приложение  № 11.2</t>
  </si>
  <si>
    <t>* - представляется ежегодно до 1 октября текущего года</t>
  </si>
  <si>
    <t>Остаток стоимости на начало года **</t>
  </si>
  <si>
    <t>скорректированный объем****</t>
  </si>
  <si>
    <t>Осталось профинансировать по результатам отчетного периода **</t>
  </si>
  <si>
    <t>Объем корректировки ****</t>
  </si>
  <si>
    <t>план ***</t>
  </si>
  <si>
    <t>**** - накопленным итогом за год</t>
  </si>
  <si>
    <t>1.1.1</t>
  </si>
  <si>
    <t>1.1.2</t>
  </si>
  <si>
    <t>1.1.3</t>
  </si>
  <si>
    <t>1.1.4</t>
  </si>
  <si>
    <t>Рекомендуемая форма представления предложений о внесении изменений в перечень инвестиционных проектов, входящих в состав инвестиционной программы, млн. рублей с НДС</t>
  </si>
  <si>
    <t>Приложение  № 5</t>
  </si>
  <si>
    <t>Приложение  № 11.1</t>
  </si>
  <si>
    <t>Приложение  №  7.2</t>
  </si>
  <si>
    <t>Приложение  № 7.1</t>
  </si>
  <si>
    <t>Отчет об исполнении инвестиционной программы, млн. рублей с НДС
(представляется ежегодно)</t>
  </si>
  <si>
    <t>Отчет об источниках финансирования инвестиционных программ, млн. рублей 
(представляется ежегодно)</t>
  </si>
  <si>
    <t>Отчет о вводах/выводах объектов
(представляется ежегодно)</t>
  </si>
  <si>
    <t>Отчет об исполнении инвестиционной программы, млн. рублей с НДС
(представляется ежеквартально)</t>
  </si>
  <si>
    <t>Отчет об источниках финансирования инвестиционных программ, млн. рублей 
(представляется ежеквартально)</t>
  </si>
  <si>
    <t>Отчет о вводах/выводах объектов
(представляется ежеквартально)</t>
  </si>
  <si>
    <t>Отчет о ходе реализации проектов (заполняется для наиболее значимых проектов*)
(представляется ежеквартально)</t>
  </si>
  <si>
    <t>Отчет об исполнении сетевых графиков строительства проектов 
(представляется ежеквартально)</t>
  </si>
  <si>
    <t>I. Контрольные  этапы реализации инвестиционного проекта для генерирующих компаний
(представляется ежеквартально)</t>
  </si>
  <si>
    <t>Форма представления показателей финансовой отчетности 
(представляется ежеквартально)</t>
  </si>
  <si>
    <t>Отчет о техническом состоянии объекта
(представляется ежеквартально)</t>
  </si>
  <si>
    <t>Исходные данные</t>
  </si>
  <si>
    <t>Значение</t>
  </si>
  <si>
    <t>Общая стоимость объекта,  руб. без НДС</t>
  </si>
  <si>
    <t>Прочие расходы, руб. без НДС на объект</t>
  </si>
  <si>
    <t>Срок амортизации, лет</t>
  </si>
  <si>
    <t>Кол-во объектов, ед.</t>
  </si>
  <si>
    <t>Простой период окупаемости, лет</t>
  </si>
  <si>
    <t>Затраты на ремонт объекта, руб. без НДС</t>
  </si>
  <si>
    <t>Дисконтированный период окупаемости, лет</t>
  </si>
  <si>
    <t>Первый  ремонт объекта, лет после постройки</t>
  </si>
  <si>
    <t xml:space="preserve">NPV через 10 лет, руб. </t>
  </si>
  <si>
    <t>Периодичность ремонта объекта, лет</t>
  </si>
  <si>
    <t>Целесообразность реализации проекта</t>
  </si>
  <si>
    <t>Прочие расходы при эксплуатации объекта, руб. без НДС</t>
  </si>
  <si>
    <t>Возникновение прочих расходов, лет после постройки</t>
  </si>
  <si>
    <t>Периодичность расходов, лет</t>
  </si>
  <si>
    <t>Прочие расходы, руб. без НДС в месяц</t>
  </si>
  <si>
    <t>Рабочий капитал в % от выручки</t>
  </si>
  <si>
    <t xml:space="preserve">Срок кредита </t>
  </si>
  <si>
    <t>Ставка по кредиту</t>
  </si>
  <si>
    <t>Ставка по кредиту без учета субсидирования</t>
  </si>
  <si>
    <t>Доля заемных средств</t>
  </si>
  <si>
    <t>Ставка дисконтирования на собственный капитал</t>
  </si>
  <si>
    <t>Доля собственных средств</t>
  </si>
  <si>
    <t>WACC</t>
  </si>
  <si>
    <t>Период</t>
  </si>
  <si>
    <t>Прогноз инфляции</t>
  </si>
  <si>
    <t>Кумулятивная инфляция</t>
  </si>
  <si>
    <t xml:space="preserve">Доход, руб. без НДС </t>
  </si>
  <si>
    <t>Кредит, руб.</t>
  </si>
  <si>
    <t>Основной долг на начало периода</t>
  </si>
  <si>
    <t>Поступление кредита</t>
  </si>
  <si>
    <t>Погашение основного долга</t>
  </si>
  <si>
    <t>Начисление процентов</t>
  </si>
  <si>
    <t>БДР, руб.</t>
  </si>
  <si>
    <t>Доход</t>
  </si>
  <si>
    <t>Операционные расходы</t>
  </si>
  <si>
    <t>Ремонт объекта</t>
  </si>
  <si>
    <t>Налог на имущество (После ввода объекта в эксплуатацию)</t>
  </si>
  <si>
    <t>EBIT</t>
  </si>
  <si>
    <t>Проценты</t>
  </si>
  <si>
    <t>Прибыль до налогообложения</t>
  </si>
  <si>
    <t>Денежный поток на собственный капитал, руб.</t>
  </si>
  <si>
    <t>НДС</t>
  </si>
  <si>
    <t>Изменения в рабочем капитале</t>
  </si>
  <si>
    <t>Инвестиции</t>
  </si>
  <si>
    <t>Изменения финансовых обязательств</t>
  </si>
  <si>
    <t>Чистый денежный поток</t>
  </si>
  <si>
    <t>Накопленный ЧДП</t>
  </si>
  <si>
    <t>Коэффициент дисконтирования</t>
  </si>
  <si>
    <t>PV</t>
  </si>
  <si>
    <t>NPV (без учета продажи)</t>
  </si>
  <si>
    <t>IRR</t>
  </si>
  <si>
    <t>PP</t>
  </si>
  <si>
    <t>DPP</t>
  </si>
  <si>
    <t>Приложение  № 2.3</t>
  </si>
  <si>
    <t>Введено 
(оформлено актами ввода в эксплуатацию)
млн.рублей</t>
  </si>
  <si>
    <t>Генерирующие объекты</t>
  </si>
  <si>
    <t>мощность, МВт</t>
  </si>
  <si>
    <t>Иные 
объекты</t>
  </si>
  <si>
    <t>Нормативный 
срок службы, 
лет</t>
  </si>
  <si>
    <t>тепловая энергия, 
Гкал/час</t>
  </si>
  <si>
    <t>* Заполняется согласно приложению 3.2.</t>
  </si>
  <si>
    <t>Отчет об исполнении основных этапов работ по реализации инвестиционной программы компании в отчетном году
(представляется ежеквартально)</t>
  </si>
  <si>
    <t>Финансовая модель по проекту инвестиционной программы</t>
  </si>
  <si>
    <t xml:space="preserve">Всего поступления 
( I р.+ 1п. IV р. + 2 п. IX р. + 1 п. X р. +  XI р. + XIII р. + 2п.XIV р. + XV р.)                             </t>
  </si>
  <si>
    <t>Всего расходы 
(II р. - 3п. II р. + 2п. IV р. + 1 п. IX р. + 2 п. X р. + VI р. + VIII р. +  XII р. + 1 п. XIV р.+ XVI р.)</t>
  </si>
  <si>
    <t>И.о. генерального директора ОАО "Корякэнерго"</t>
  </si>
  <si>
    <t>«_____» _______ 2013 года</t>
  </si>
  <si>
    <t>«_____» _________ 2013 года</t>
  </si>
  <si>
    <t>План 2015 года</t>
  </si>
  <si>
    <t>План ввода основных средств по инвестиционному проекту</t>
  </si>
  <si>
    <t xml:space="preserve">
Дата                 ввода ОС           (м.г.)</t>
  </si>
  <si>
    <t>Классификация основных средств</t>
  </si>
  <si>
    <t>Группа</t>
  </si>
  <si>
    <t>Код  ОКОФ</t>
  </si>
  <si>
    <t>от 24.03.2010 г. №114</t>
  </si>
  <si>
    <t>(в ред. Приказа Минэнерго России от 01.08.2012 № 364)</t>
  </si>
  <si>
    <t>____________________В.Я.Левин</t>
  </si>
  <si>
    <t>План 2016 года</t>
  </si>
  <si>
    <t>-</t>
  </si>
  <si>
    <t>Генеральный директор ОАО "Корякэнерго"</t>
  </si>
  <si>
    <t>«_____»__________________ 20___ года</t>
  </si>
  <si>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</si>
  <si>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</si>
  <si>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</si>
  <si>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</si>
  <si>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</si>
  <si>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</si>
  <si>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</si>
  <si>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</si>
  <si>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</si>
  <si>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</si>
  <si>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</si>
  <si>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</si>
  <si>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</si>
  <si>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</si>
  <si>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</si>
  <si>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</si>
  <si>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</si>
  <si>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</si>
  <si>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</si>
  <si>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</si>
  <si>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</si>
  <si>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</si>
  <si>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</si>
  <si>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</si>
  <si>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</si>
  <si>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</si>
  <si>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</si>
  <si>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</si>
  <si>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</si>
  <si>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</si>
  <si>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</si>
  <si>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</si>
  <si>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</si>
  <si>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</si>
  <si>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</si>
  <si>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</si>
  <si>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II.</t>
  </si>
  <si>
    <t>III.</t>
  </si>
  <si>
    <t>Наименование объекта</t>
  </si>
  <si>
    <t xml:space="preserve">ВСЕГО, </t>
  </si>
  <si>
    <t>Объект 1</t>
  </si>
  <si>
    <t>…</t>
  </si>
  <si>
    <t>Объект 2</t>
  </si>
  <si>
    <t>I.</t>
  </si>
  <si>
    <t>1.1.2.</t>
  </si>
  <si>
    <t>Ввод мощностей</t>
  </si>
  <si>
    <t>Итого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</si>
  <si>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</si>
  <si>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</si>
  <si>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</si>
  <si>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</si>
  <si>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</si>
  <si>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</si>
  <si>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</si>
  <si>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</si>
  <si>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</si>
  <si>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</si>
  <si>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1 кв. 2009 г.</t>
  </si>
  <si>
    <t>2 кв. 2009 г.</t>
  </si>
  <si>
    <t>3 кв. 2009 г.</t>
  </si>
  <si>
    <t>4 кв. 2009 г.</t>
  </si>
  <si>
    <t>млн.рублей</t>
  </si>
  <si>
    <t>Показатели</t>
  </si>
  <si>
    <t>Выручка от реализации товаров (работ, услуг),   всего</t>
  </si>
  <si>
    <t>Материальные расходы, всего</t>
  </si>
  <si>
    <t>Расходы на оплату труда с учетом ЕСН</t>
  </si>
  <si>
    <t>3.</t>
  </si>
  <si>
    <t>Амортизационные отчисления</t>
  </si>
  <si>
    <t>4.</t>
  </si>
  <si>
    <t>Прочие расходы, всего</t>
  </si>
  <si>
    <t>в том числе</t>
  </si>
  <si>
    <t>Ремонт основных средств</t>
  </si>
  <si>
    <t>в том числе:</t>
  </si>
  <si>
    <t>4.4.</t>
  </si>
  <si>
    <t>4.5.</t>
  </si>
  <si>
    <t>4.6.</t>
  </si>
  <si>
    <t>5.</t>
  </si>
  <si>
    <t>Налоги  и сборы, всего</t>
  </si>
  <si>
    <t>5.3.</t>
  </si>
  <si>
    <t>IV.</t>
  </si>
  <si>
    <t>Внереализационные доходы и расходы (сальдо)</t>
  </si>
  <si>
    <t>Внереализационные доходы, всего</t>
  </si>
  <si>
    <t>Внереализационные расходы, всего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</si>
  <si>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</si>
  <si>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</si>
  <si>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</si>
  <si>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</si>
  <si>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</si>
  <si>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</si>
  <si>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</si>
  <si>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млн. рублей</t>
  </si>
  <si>
    <t>X.</t>
  </si>
  <si>
    <t>Привлечение заемных средств</t>
  </si>
  <si>
    <t>в том числе на:</t>
  </si>
  <si>
    <t>XI.</t>
  </si>
  <si>
    <t xml:space="preserve">Погашение заемных средств  </t>
  </si>
  <si>
    <t>XII.</t>
  </si>
  <si>
    <t>XIII.</t>
  </si>
  <si>
    <t>XIV.</t>
  </si>
  <si>
    <t>Справочно:</t>
  </si>
  <si>
    <t>EBITDA</t>
  </si>
  <si>
    <t>в т.ч. в части ДПМ*</t>
  </si>
  <si>
    <t>Долг на конец периода</t>
  </si>
  <si>
    <t>*заполняется ОГК/ТГК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</si>
  <si>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</si>
  <si>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</si>
  <si>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</si>
  <si>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</si>
  <si>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</si>
  <si>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</si>
  <si>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</si>
  <si>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</si>
  <si>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</si>
  <si>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</si>
  <si>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</si>
  <si>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</si>
  <si>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</si>
  <si>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</si>
  <si>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</si>
  <si>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</si>
  <si>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</si>
  <si>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</si>
  <si>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</si>
  <si>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</si>
  <si>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</si>
  <si>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</si>
  <si>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</si>
  <si>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</si>
  <si>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IX.</t>
  </si>
  <si>
    <t>Капитальные вложения</t>
  </si>
  <si>
    <r>
      <t xml:space="preserve">Возмещаемый НДС </t>
    </r>
    <r>
      <rPr>
        <sz val="12"/>
        <rFont val="Times New Roman"/>
        <family val="1"/>
        <charset val="204"/>
      </rPr>
      <t>(поступления)</t>
    </r>
  </si>
  <si>
    <t>в том числе по:</t>
  </si>
  <si>
    <t>в том числе ПТП</t>
  </si>
  <si>
    <t>план**</t>
  </si>
  <si>
    <t>факт***</t>
  </si>
  <si>
    <t>2010 г.</t>
  </si>
  <si>
    <t>6.1.</t>
  </si>
  <si>
    <t>6.2.</t>
  </si>
  <si>
    <t>6.3.</t>
  </si>
  <si>
    <t>6.4.</t>
  </si>
  <si>
    <t>по состоянию на ____ 20_____ г.</t>
  </si>
  <si>
    <t xml:space="preserve">№ п/п
п/п
</t>
  </si>
  <si>
    <t>Наименование</t>
  </si>
  <si>
    <t>Тип</t>
  </si>
  <si>
    <t xml:space="preserve">Предпроектный этап </t>
  </si>
  <si>
    <t xml:space="preserve">Выбор площадки строительства </t>
  </si>
  <si>
    <t xml:space="preserve">событие </t>
  </si>
  <si>
    <t>Проведение инженерных изысканий на выбранной площадке строительства</t>
  </si>
  <si>
    <t>работа</t>
  </si>
  <si>
    <t>Проектный этап</t>
  </si>
  <si>
    <t>Заключение договора на разработку ТЭО</t>
  </si>
  <si>
    <t>событие</t>
  </si>
  <si>
    <t>Заключение договора на разработку рабочего проекта</t>
  </si>
  <si>
    <t>Разработка и утверждение ТЭО</t>
  </si>
  <si>
    <t>Разработка рабочего проекта</t>
  </si>
  <si>
    <t>Получение положительного заключения государственной экспертизы на ТЭО</t>
  </si>
  <si>
    <t>Получение разрешения на строительство</t>
  </si>
  <si>
    <t>Организационный этап</t>
  </si>
  <si>
    <t>3.1.</t>
  </si>
  <si>
    <t>Заключение договора с генеральным подрядчиком (EPC, EPCM) или договоров с основными подрядчиками</t>
  </si>
  <si>
    <t>3.2.</t>
  </si>
  <si>
    <t>Получение правоустанавливающих документов на земельный участк под строительство</t>
  </si>
  <si>
    <t>3.3.</t>
  </si>
  <si>
    <t xml:space="preserve">Заключение договоров на поставщику основного оборудования </t>
  </si>
  <si>
    <t>3.3.1.</t>
  </si>
  <si>
    <t>График поставки основного оборудования на объект</t>
  </si>
  <si>
    <t>Строительные работы</t>
  </si>
  <si>
    <t>Подготовка площадки строительства</t>
  </si>
  <si>
    <t xml:space="preserve">Строительство основных сооружений (главного корпуса, гидротехнических сооружений, объектов топливного хозяйства, технического водоснабжения и др.) </t>
  </si>
  <si>
    <t>Сдача основных сооружений под монтаж оборудования</t>
  </si>
  <si>
    <t>Монтаж и ввод в работу грузоподъёмных механизмов для монтажа основного оборудования</t>
  </si>
  <si>
    <t>Монтаж  основного оборудования и трубопроводов</t>
  </si>
  <si>
    <t>Монтаж электротехнического оборудования и КиП</t>
  </si>
  <si>
    <t>Реализация схемы выдачи мощности (в объеме обязательств ГК)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</si>
  <si>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</si>
  <si>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</si>
  <si>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</si>
  <si>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</si>
  <si>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</si>
  <si>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</si>
  <si>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>Внереализационные расходы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</si>
  <si>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</si>
  <si>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</si>
  <si>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</si>
  <si>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Поступления</t>
  </si>
  <si>
    <t>Выбытия</t>
  </si>
  <si>
    <t>Платежи по прямой себестоимости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</si>
  <si>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</si>
  <si>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</si>
  <si>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</si>
  <si>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</si>
  <si>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</si>
  <si>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</si>
  <si>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</si>
  <si>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</si>
  <si>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Погашение кредитов и займов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</si>
  <si>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</si>
  <si>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</si>
  <si>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</si>
  <si>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</si>
  <si>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</si>
  <si>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</si>
  <si>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</si>
  <si>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</si>
  <si>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</si>
  <si>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</si>
  <si>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____________________Е.Н. Кондращенко</t>
  </si>
  <si>
    <t>«_____» ___________________ 2013 года</t>
  </si>
  <si>
    <t>Финансовая модель 
(в разрезе каждого юридического лица группы/по конечным видам выпускаемой продукции) 
по годам до 2020 года включительно</t>
  </si>
  <si>
    <t xml:space="preserve">Увеличение капитализации </t>
  </si>
  <si>
    <t>&lt;*&gt; Форма заполняется:</t>
  </si>
  <si>
    <t>- в отношении вновь создаваемых объектов, для которых могут применяться расчеты экономической эффективности реализации инвестиционных проектов;</t>
  </si>
  <si>
    <t>- в отношении реконструированных объектов в том случае, если данный объект после реконструкции "создает" новый финансовый поток;</t>
  </si>
  <si>
    <t>- по проектам, общая стоимость реализации которых составляет 500 млн. рублей и более.</t>
  </si>
  <si>
    <t>&lt;**&gt;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эксплуатацию.</t>
  </si>
  <si>
    <t>Продукт 1 - электрическая энергия</t>
  </si>
  <si>
    <t>млн. рублей без НДС</t>
  </si>
  <si>
    <t>Погашение основного долга за счет тарифной выручки, возврата НДС</t>
  </si>
  <si>
    <t>План 2017 года</t>
  </si>
  <si>
    <t>Начальник ОЭП</t>
  </si>
  <si>
    <t>Прочее (НДС)</t>
  </si>
  <si>
    <t>Ерышева И.В.</t>
  </si>
  <si>
    <t>«_____» _______ 2014 года</t>
  </si>
  <si>
    <t>«_____» ___________________ 2014 года</t>
  </si>
  <si>
    <t>Строительство крытого склада запаса топлива для центральной котельной сельского поселения «село Ачайваям».</t>
  </si>
  <si>
    <t>Строительство крытого склада запаса топлива для котельных №1 и №2 сельского поселения «село Хаилино».</t>
  </si>
  <si>
    <t>Строительство крытого склада запаса топлива для центральной котельной сельского поселения «село Тымлат».</t>
  </si>
  <si>
    <t>Строительство крытого склада запаса топлива для центральной котельной сельского поселения «село Ковран».</t>
  </si>
  <si>
    <t>Замена одного котла на котельной «Совхозная» сельского поселения «село Тиличики» на новый.</t>
  </si>
  <si>
    <t>Замена двух котлов на центральной котельной СП «село Ачайваям» на новые.</t>
  </si>
  <si>
    <t>Модернизация тепловых сетей системы централизованного теплоснабжения СП «село Апука».</t>
  </si>
  <si>
    <t>Модернизация магистральных тепловых сетей системы централизованного теплоснабжения Устьевого СП.</t>
  </si>
  <si>
    <t>Установка ёмкости запаса подпиточной воды на котельной № 5 (Колхоз) СП «село Усть-Хайрюзово».</t>
  </si>
  <si>
    <t>Замена двух котлов на котельной № 2 СП «село Хаилино» на новые.</t>
  </si>
  <si>
    <t>Замена одного котла на котельной № 1 СП «село Пахачи» на новый.</t>
  </si>
  <si>
    <t>Замена двух котлов на котельной «Береговая» СП «село Тиличики» на новые.</t>
  </si>
  <si>
    <t>Замена двух котлов на котельной «Гаражная» СП «село Тиличики» на новые.</t>
  </si>
  <si>
    <t>Установка ёмкости запаса подпиточной воды на котельной «Береговая» СП«село Тиличики».</t>
  </si>
  <si>
    <t>Установка ёмкости запаса подпиточной воды на котельной №7 Устьевого СП.</t>
  </si>
  <si>
    <t>Модернизация магистральных тепловых сетей системы теплоснабжения Крутогоровского СП.</t>
  </si>
  <si>
    <t>Замена одного котла на котельной «Корф» СП «село Тиличики» на новый.</t>
  </si>
  <si>
    <t>Замена котла на котельной №5 (Колхоз) сельского поселения «село Усть-Хайрюзово» на новый.</t>
  </si>
  <si>
    <t>Срок использования, мес.(лет)</t>
  </si>
  <si>
    <t>5</t>
  </si>
  <si>
    <t>14  2897030</t>
  </si>
  <si>
    <t>12  4521126</t>
  </si>
  <si>
    <t>2016,сентябрь</t>
  </si>
  <si>
    <t>12  2812030</t>
  </si>
  <si>
    <t>2017, сентябрь</t>
  </si>
  <si>
    <t>2016, сентябрь</t>
  </si>
  <si>
    <t>2015, сентябрь</t>
  </si>
  <si>
    <t>2017, ноябрь</t>
  </si>
  <si>
    <t>7</t>
  </si>
  <si>
    <t>12 4521024</t>
  </si>
  <si>
    <t>12  4521024</t>
  </si>
  <si>
    <t>"Реконструкция и развитие систем теплооснабжения ОАО "Корякэнерго" на 2015-2017 гг."</t>
  </si>
  <si>
    <t>____________________А.В. Колесников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</si>
  <si>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</si>
  <si>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</si>
  <si>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</si>
  <si>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</si>
  <si>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</si>
  <si>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</si>
  <si>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</si>
  <si>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</si>
  <si>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</si>
  <si>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</si>
  <si>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</si>
  <si>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</si>
  <si>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</si>
  <si>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</si>
  <si>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2.1</t>
  </si>
  <si>
    <t>2.2</t>
  </si>
  <si>
    <t>2.3</t>
  </si>
  <si>
    <t>2.4</t>
  </si>
  <si>
    <t>1.2.1</t>
  </si>
  <si>
    <t>1.3.1</t>
  </si>
  <si>
    <t>1.3.2</t>
  </si>
  <si>
    <t>2</t>
  </si>
  <si>
    <t>3</t>
  </si>
  <si>
    <t>3.1</t>
  </si>
  <si>
    <t>3.1.1</t>
  </si>
  <si>
    <t>3.1.2</t>
  </si>
  <si>
    <t>3.2</t>
  </si>
  <si>
    <t>4</t>
  </si>
  <si>
    <t xml:space="preserve">Смета расходов </t>
  </si>
  <si>
    <t>№
п/п</t>
  </si>
  <si>
    <t>Расходы, связанные с производством и реализацией продукции (услуг), всего</t>
  </si>
  <si>
    <t>расходы на сырье и материалы</t>
  </si>
  <si>
    <t>материалы, ремонт х/сп</t>
  </si>
  <si>
    <t>топливо на нетехнологические цели</t>
  </si>
  <si>
    <t>хим.реагенты</t>
  </si>
  <si>
    <t>……</t>
  </si>
  <si>
    <t>расходы на топливо</t>
  </si>
  <si>
    <t>расходы на прочие покупаемые энергетические ресурсы</t>
  </si>
  <si>
    <t>расходы на холодную воду</t>
  </si>
  <si>
    <t>расходы на теплоноситель</t>
  </si>
  <si>
    <t>амортизация основных средств и нематериальных активов</t>
  </si>
  <si>
    <t>оплата труда</t>
  </si>
  <si>
    <t>отчисления на социальные нужды</t>
  </si>
  <si>
    <t>ремонт основных средств выполняемый подрядным способом</t>
  </si>
  <si>
    <t>расходы на оплату услуг, оказываемых организациями, осуществляющими регулируемую деятельность</t>
  </si>
  <si>
    <t>расходы на выполнение работ и услуг производственного характера, выполняемых по договорам со сторонними организациями или индивидуальными предпринимателями</t>
  </si>
  <si>
    <t>1.11.1</t>
  </si>
  <si>
    <t>обеспечение промышленной безопасности</t>
  </si>
  <si>
    <t>1.11.2</t>
  </si>
  <si>
    <t>обустройство молниезащиты и совмещенных дыхательных клапанов на складах ГСМ</t>
  </si>
  <si>
    <t>1.11.3</t>
  </si>
  <si>
    <t>1.11.4</t>
  </si>
  <si>
    <t>доставка материально-технического снабжения</t>
  </si>
  <si>
    <t>1.11.5</t>
  </si>
  <si>
    <t>разработка проектов ПДВ</t>
  </si>
  <si>
    <t>1.11.6</t>
  </si>
  <si>
    <t>разработка проектов нормативов образования отходов</t>
  </si>
  <si>
    <t>1.11.7</t>
  </si>
  <si>
    <t>установка топливных счетчиков на дизель-генераторах</t>
  </si>
  <si>
    <t>1.11.8</t>
  </si>
  <si>
    <t>1.11.9</t>
  </si>
  <si>
    <t>анализ твердого топлива (уголь)</t>
  </si>
  <si>
    <t>1.11.10</t>
  </si>
  <si>
    <t>энергетическое обследование котельных</t>
  </si>
  <si>
    <t>1.11.11</t>
  </si>
  <si>
    <t>установка приборов учета тепловой энергии</t>
  </si>
  <si>
    <t>1.11.12</t>
  </si>
  <si>
    <t>режимно-наладочные испытания котлов</t>
  </si>
  <si>
    <t>6.2</t>
  </si>
  <si>
    <t>1.12.1</t>
  </si>
  <si>
    <t>аудиторские услуги</t>
  </si>
  <si>
    <t>6.3</t>
  </si>
  <si>
    <t>1.12.2</t>
  </si>
  <si>
    <t>информационные услуги</t>
  </si>
  <si>
    <t>6.4</t>
  </si>
  <si>
    <t>1.12.3</t>
  </si>
  <si>
    <t>канцелярские товары</t>
  </si>
  <si>
    <t>1.12.4</t>
  </si>
  <si>
    <t>компенсация за использование личного транспорта</t>
  </si>
  <si>
    <t>1.12.5</t>
  </si>
  <si>
    <t>расходы на метеоинформацию</t>
  </si>
  <si>
    <t>1.12.6</t>
  </si>
  <si>
    <t>1.12.7</t>
  </si>
  <si>
    <t>нотариальные услуги</t>
  </si>
  <si>
    <t>1.12.8</t>
  </si>
  <si>
    <t>подписка на периодические издания</t>
  </si>
  <si>
    <t>1.12.9</t>
  </si>
  <si>
    <t>почтово-телеграфные расходы</t>
  </si>
  <si>
    <t>1.12.10</t>
  </si>
  <si>
    <t>приобретение лицензий</t>
  </si>
  <si>
    <t>1.12.11</t>
  </si>
  <si>
    <t>приобретение тех, эк. и норм. Литературы</t>
  </si>
  <si>
    <t>1.12.12</t>
  </si>
  <si>
    <t>расходы на обеспечение пожарной безопасности</t>
  </si>
  <si>
    <t>1.12.13</t>
  </si>
  <si>
    <t>1.12.14</t>
  </si>
  <si>
    <t>расходы по охране труда</t>
  </si>
  <si>
    <t>1.12.15</t>
  </si>
  <si>
    <t>материалы на содержание ЗИС</t>
  </si>
  <si>
    <t>1.12.16</t>
  </si>
  <si>
    <t>содержание и ремонт оргтехники</t>
  </si>
  <si>
    <t>1.12.17</t>
  </si>
  <si>
    <t>содержание служебного транспорта</t>
  </si>
  <si>
    <t>1.12.18</t>
  </si>
  <si>
    <t>страхование автотранспорта</t>
  </si>
  <si>
    <t>1.12.19</t>
  </si>
  <si>
    <t>расходы на услуги связи</t>
  </si>
  <si>
    <t>1.12.20</t>
  </si>
  <si>
    <t>юридические услуги</t>
  </si>
  <si>
    <t>1.12.21</t>
  </si>
  <si>
    <t>услуги автотранспорта</t>
  </si>
  <si>
    <t>1.12.22</t>
  </si>
  <si>
    <t>коммунальные услуги, всего в т.ч.:</t>
  </si>
  <si>
    <t>электроэнергия на хозяйственные нужды</t>
  </si>
  <si>
    <t>Сбор и вывоз ТБО и ЖБО</t>
  </si>
  <si>
    <t>вода на хозбытовые нужды</t>
  </si>
  <si>
    <t>теплоснабжение</t>
  </si>
  <si>
    <t>водоотведение</t>
  </si>
  <si>
    <t>1.12.23</t>
  </si>
  <si>
    <t xml:space="preserve">прочие расходы </t>
  </si>
  <si>
    <t>……..</t>
  </si>
  <si>
    <t>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</si>
  <si>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6.1</t>
  </si>
  <si>
    <t>арендная плата, концессионная плата, лизинговые платежи</t>
  </si>
  <si>
    <t>1.15</t>
  </si>
  <si>
    <t>расходы на служебные командировки</t>
  </si>
  <si>
    <t>1.16</t>
  </si>
  <si>
    <t>расходы на обучение персонала</t>
  </si>
  <si>
    <t>1.17</t>
  </si>
  <si>
    <t>расходы на страхование производственных объектов, учитываемые при определении налоговой базы по налогу на прибыль</t>
  </si>
  <si>
    <t>1.18</t>
  </si>
  <si>
    <t>налог на имущество организации</t>
  </si>
  <si>
    <t>земельный налог</t>
  </si>
  <si>
    <t>транспортный налог</t>
  </si>
  <si>
    <t>водный налог</t>
  </si>
  <si>
    <t>прочие налоги</t>
  </si>
  <si>
    <t>1.18.6</t>
  </si>
  <si>
    <t>1.18.7</t>
  </si>
  <si>
    <t>1.18.8</t>
  </si>
  <si>
    <t>1.18.9</t>
  </si>
  <si>
    <t>1.18.10</t>
  </si>
  <si>
    <t>1.18.11</t>
  </si>
  <si>
    <t>1.18.12</t>
  </si>
  <si>
    <t>1.18.13</t>
  </si>
  <si>
    <t>расходы на вывод из эксплуатации ( в том числе на консервацию) и вывод из консервации</t>
  </si>
  <si>
    <t>расходы по сомнительным долгам</t>
  </si>
  <si>
    <t>расходы, связанные с созданием нормативных запасов топлива, включая расходы по обслуживанию заемных средств, привлекаемых для этих целей</t>
  </si>
  <si>
    <t>другие обоснованные расходы, в том числе</t>
  </si>
  <si>
    <t>2.4.1</t>
  </si>
  <si>
    <t>расходы на услуги банков</t>
  </si>
  <si>
    <t>2.4.2</t>
  </si>
  <si>
    <t>% за пользование кредитом</t>
  </si>
  <si>
    <t>2.4.3</t>
  </si>
  <si>
    <t>расходы на обслуживание заемных средств</t>
  </si>
  <si>
    <t>2.4.4</t>
  </si>
  <si>
    <t>убытки от списания безнадежной дебиторской задолженности</t>
  </si>
  <si>
    <t>2.4.5</t>
  </si>
  <si>
    <t>судебные издержки</t>
  </si>
  <si>
    <t>2.4.6</t>
  </si>
  <si>
    <t>другие (госпошлина и др.)</t>
  </si>
  <si>
    <t>Расходы, не учитываемые  в целях налогообложения, всего</t>
  </si>
  <si>
    <t>расходы на капитальные вложения (инвестиции)</t>
  </si>
  <si>
    <t>денежные выплаты социального характера (по Коллективному договору)</t>
  </si>
  <si>
    <t>резервный фонд</t>
  </si>
  <si>
    <t>прочие расходы</t>
  </si>
  <si>
    <t>Выпадающие доходы/экономия средств</t>
  </si>
  <si>
    <t>Необходимая валовая выручка, всего</t>
  </si>
  <si>
    <t>на производство электрической энергии</t>
  </si>
  <si>
    <t>на производство тепловой энергии</t>
  </si>
  <si>
    <t>на производство теплоносителя</t>
  </si>
  <si>
    <t>Полезный отпуск, тыс. Гкал</t>
  </si>
  <si>
    <t>Утвержденный Тариф, руб/Гкал</t>
  </si>
  <si>
    <t>Средний сложившейся Тариф, руб/Гкал</t>
  </si>
  <si>
    <t>Базовый период</t>
  </si>
  <si>
    <t>6</t>
  </si>
  <si>
    <t>8</t>
  </si>
  <si>
    <t>Участок теплоснабжения с. Апука</t>
  </si>
  <si>
    <t>Отчет по основным средствам</t>
  </si>
  <si>
    <t>За период</t>
  </si>
  <si>
    <t>Остаточная стоимость</t>
  </si>
  <si>
    <t>показатели в рублях</t>
  </si>
  <si>
    <t>Сумма Расходов по СС+Внереал.расходов</t>
  </si>
  <si>
    <t>Остаток НН</t>
  </si>
  <si>
    <t>Остаток НК</t>
  </si>
  <si>
    <t>План 2018 года</t>
  </si>
  <si>
    <t>Расчет амортизации</t>
  </si>
  <si>
    <t>Расчет амортизации на период реализации инвестиционной программы</t>
  </si>
  <si>
    <t>Рост к предыдущему году, %</t>
  </si>
  <si>
    <t>7% от суммы (расходы по СС+Врасходы-стр 3.2.)</t>
  </si>
  <si>
    <t>запчасти и материалы на ТО</t>
  </si>
  <si>
    <t>Хранение груза</t>
  </si>
  <si>
    <t>Метрология</t>
  </si>
  <si>
    <t>1.11.13</t>
  </si>
  <si>
    <t>расходы на оплату иных работ и услуг, выполняемых по договорам с организациями, включая расходы на оплату услуг связи, вневедомственной охран, коммунальных услуг, юридических, информациолнных, аудиторских и консультационнвх услуг</t>
  </si>
  <si>
    <t>Энергоаудит</t>
  </si>
  <si>
    <t>консультационный и иные аналогичные улуги</t>
  </si>
  <si>
    <t>1.12.23.1</t>
  </si>
  <si>
    <t>1.12.23.2</t>
  </si>
  <si>
    <t>1.12.23.3</t>
  </si>
  <si>
    <t>1.12.23.4</t>
  </si>
  <si>
    <t>1.12.23.5</t>
  </si>
  <si>
    <t>1.12.24</t>
  </si>
  <si>
    <t>расходы на страхование СРО</t>
  </si>
  <si>
    <t>1.19</t>
  </si>
  <si>
    <t>другие расходы, связанные с производством и (или) реализацие продукции, в том числе</t>
  </si>
  <si>
    <t xml:space="preserve">прочая продукция </t>
  </si>
  <si>
    <t>____________________С.А. Кулинич</t>
  </si>
  <si>
    <t>Инвестиционная программа</t>
  </si>
  <si>
    <t>Акционерного общества "Корякэнерго" (АО "Корякэнерго")</t>
  </si>
  <si>
    <t>Наименование
мероприятий</t>
  </si>
  <si>
    <t>Обоснование необходимости
(цель реализации)</t>
  </si>
  <si>
    <t>Описание и место расположения
объекта</t>
  </si>
  <si>
    <t>Основные технические характеристики</t>
  </si>
  <si>
    <t>Год начала реализации мероприятия</t>
  </si>
  <si>
    <t>Год окончания реализации мероприятия</t>
  </si>
  <si>
    <t>Расходы на реализацию мероприятий в прогнозных ценах, тыс. руб. (с НДС)</t>
  </si>
  <si>
    <t>Ед.
изм.</t>
  </si>
  <si>
    <t>Значение показателя</t>
  </si>
  <si>
    <t>в т.ч. по годам</t>
  </si>
  <si>
    <t>Остаток финанси-рования</t>
  </si>
  <si>
    <t>в т.ч. за счет платы
за под-ключение</t>
  </si>
  <si>
    <t>показателя</t>
  </si>
  <si>
    <t>до</t>
  </si>
  <si>
    <t>после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</si>
  <si>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</si>
  <si>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</si>
  <si>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</si>
  <si>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</si>
  <si>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</si>
  <si>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</si>
  <si>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</si>
  <si>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</si>
  <si>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</si>
  <si>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</si>
  <si>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</si>
  <si>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(мощность,</t>
  </si>
  <si>
    <t>реализации</t>
  </si>
  <si>
    <t>протяженность,</t>
  </si>
  <si>
    <t>мероприятия</t>
  </si>
  <si>
    <t>диаметр и т.п.)</t>
  </si>
  <si>
    <t>Группа 1. Строительство, реконструкция или модернизация объектов в целях подключения потребителей:</t>
  </si>
  <si>
    <t>1.1. Строительство новых тепловых сетей в целях подключения потребителей</t>
  </si>
  <si>
    <t>1.2. Строительство иных объектов системы централизованного теплоснабжения, за исключением тепловых сетей, в целях подключения потребителей</t>
  </si>
  <si>
    <t>1.2.2</t>
  </si>
  <si>
    <t>1.3. Увеличение пропускной способности существующих тепловых сетей в целях подключения потребителей</t>
  </si>
  <si>
    <t>1.4. Увеличение мощности и производительности существующих объектов централизованного теплоснабжения, за исключением тепловых сетей, в целях подключения потребителей</t>
  </si>
  <si>
    <t>Всего по группе 1.</t>
  </si>
  <si>
    <t>Мониторинг и оптимизация работы теплотехнического оборудования в котельной</t>
  </si>
  <si>
    <t>Олюторский МР, с.Апука</t>
  </si>
  <si>
    <t>Всего по группе 2.</t>
  </si>
  <si>
    <t>Группа 3. Реконструкция или модернизация существующих объектов в целях снижения уровня износа существующих объектов и (или) поставки энергии от разных источников</t>
  </si>
  <si>
    <t>3.1. Реконструкция или модернизация существующих тепловых сетей</t>
  </si>
  <si>
    <t>3.2. Реконструкция или модернизация существующих объектов системы централизованного теплоснабжения, за исключением тепловых сетей</t>
  </si>
  <si>
    <t>Замена изношенного оборудования</t>
  </si>
  <si>
    <t>1шт</t>
  </si>
  <si>
    <t>1х0,63 МВт            (1х0,54 Гкал/ч)</t>
  </si>
  <si>
    <t>Всего по группе 3.</t>
  </si>
  <si>
    <t>Группа 4.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 работы систем централизованного теплоснабжения</t>
  </si>
  <si>
    <t>Всего по группе 4.</t>
  </si>
  <si>
    <t>Группа 5. Вывод из эксплуатации, консервация и демонтаж объектов системы централизованного теплоснабжения</t>
  </si>
  <si>
    <t>5.1. Вывод из эксплуатации, консервация и демонтаж тепловых сетей</t>
  </si>
  <si>
    <t>5.1.1</t>
  </si>
  <si>
    <t>5.1.2</t>
  </si>
  <si>
    <t>5.2. Вывод из эксплуатации, консервация и демонтаж иных объектов системы централизованного теплоснабжения, за исключением тепловых сетей</t>
  </si>
  <si>
    <t>5.2.1</t>
  </si>
  <si>
    <t>5.2.2</t>
  </si>
  <si>
    <t>Всего по группе 5.</t>
  </si>
  <si>
    <t>ИТОГО по программе</t>
  </si>
  <si>
    <t>Генеральный директор АО "Корякэнерго"                                                                                                                                                    С.А. Кулинич</t>
  </si>
  <si>
    <t>МП</t>
  </si>
  <si>
    <r>
      <t xml:space="preserve">Теплоснабжающая организация: </t>
    </r>
    <r>
      <rPr>
        <b/>
        <sz val="12"/>
        <rFont val="Times New Roman"/>
        <family val="1"/>
        <charset val="204"/>
      </rPr>
      <t>АО "Корякэнерго"</t>
    </r>
  </si>
  <si>
    <t>Рост к базовому 2016 году, %</t>
  </si>
  <si>
    <t>Работы по установлению, восстановлению и закреплению на местности границ земельного участка (межевание земли)</t>
  </si>
  <si>
    <t>Расходы, связанные с вахтовым методом работы (проживание, проезд)</t>
  </si>
  <si>
    <t>1.20</t>
  </si>
  <si>
    <t>1.20.1</t>
  </si>
  <si>
    <t>1.20.2</t>
  </si>
  <si>
    <t>1.20.3</t>
  </si>
  <si>
    <t>1.20.4</t>
  </si>
  <si>
    <t>1.20.5</t>
  </si>
  <si>
    <t>Начальник ОЭП                                                 И.В. Ерышева</t>
  </si>
  <si>
    <t>Теплоснабжающая организация: АО "Корякэнерго"</t>
  </si>
  <si>
    <t>И.В. Ерышева</t>
  </si>
  <si>
    <t>Краткое описание инвестиционной программы "Реконструкция и развитие систем теплооснабжения АО "Корякэнерго" на 2015-2018 гг."</t>
  </si>
  <si>
    <t>Субъект РФ, 
на территории 
которого 
реализауется 
инвестиционный 
проект</t>
  </si>
  <si>
    <t>Место
расположения 
объекта</t>
  </si>
  <si>
    <t>Используемое топливо</t>
  </si>
  <si>
    <t>Процент 
освоения 
сметной стоимости
на 01.01 года N, %</t>
  </si>
  <si>
    <t>Техническая 
готовность 
объекта
на 01.01.2011, %
**</t>
  </si>
  <si>
    <t>Стоимость объекта,
млн.рублей</t>
  </si>
  <si>
    <t>Остаточная 
стоимость 
объекта
на 01.01. года N, 
млн.рублей</t>
  </si>
  <si>
    <t>Обоснование необходимости реализации проекта</t>
  </si>
  <si>
    <t>Показатели 
экономической эффективноскти реализации инвестиционного 
проекта ****</t>
  </si>
  <si>
    <t>мощность 
МВт, МВА, Гкал/ч</t>
  </si>
  <si>
    <t>длина,
км</t>
  </si>
  <si>
    <r>
      <t>объем,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</si>
  <si>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в соответствии 
с проектно-
сметной 
документацией **</t>
  </si>
  <si>
    <t>в соответствии 
с итогами 
конкурсов и заключенными договорами</t>
  </si>
  <si>
    <t>в соответствии 
с проектно-
сметной 
документацией
***</t>
  </si>
  <si>
    <t>решаемые 
задачи *</t>
  </si>
  <si>
    <t>режимно-балансовая 
необходимость</t>
  </si>
  <si>
    <t>основание включения 
инвестиционного проекта 
в инвестиционную программу 
(решение Правительства РФ, 
федеральные, региональные 
и муниципальные 
программы и др.)</t>
  </si>
  <si>
    <t xml:space="preserve">доходность </t>
  </si>
  <si>
    <t>срок
окупаемости</t>
  </si>
  <si>
    <t>NPV, 
млн.
рублей</t>
  </si>
  <si>
    <t>IRR,
%</t>
  </si>
  <si>
    <t>простой</t>
  </si>
  <si>
    <t>дискон
тированный</t>
  </si>
  <si>
    <t>Камчатский край</t>
  </si>
  <si>
    <t>2.1.1.</t>
  </si>
  <si>
    <t xml:space="preserve">* в том числе:
- степень износа  оборудования
- срок вывода из эксплуатации оборудования
- уровень технического оснащения оборудования
- требования  к  объекту, которые необходимы для надежного и бесперебойного обеспечения объекта. </t>
  </si>
  <si>
    <t>** в текущих ценах с НДС с применением коэффициентов пересчета к базовым ценам Мирегион России или иных уполномоченных государственных органов (указать)</t>
  </si>
  <si>
    <t>Начальник ТТО                                                                                         А.С. Марфенин</t>
  </si>
  <si>
    <t>Генеральный директор АО "Корякэнерго"</t>
  </si>
  <si>
    <t>«_____» _________ 2016 года</t>
  </si>
  <si>
    <t>И.о генерального директора АО "Корякэнерго"</t>
  </si>
  <si>
    <t>ВСЕГО</t>
  </si>
  <si>
    <t>2015-2025</t>
  </si>
  <si>
    <t>____________________</t>
  </si>
  <si>
    <t>План 2019 года</t>
  </si>
  <si>
    <t>План 2020 года</t>
  </si>
  <si>
    <t>План 2021 года</t>
  </si>
  <si>
    <t>План 2022 года</t>
  </si>
  <si>
    <t>План 2023 года</t>
  </si>
  <si>
    <t>План 2024 года</t>
  </si>
  <si>
    <t>План 2025 года</t>
  </si>
  <si>
    <t>Основное средство</t>
  </si>
  <si>
    <t>На начало периода</t>
  </si>
  <si>
    <t>Стоимость</t>
  </si>
  <si>
    <t>Амортизация (износ)</t>
  </si>
  <si>
    <t>Начисление амортизации (износа)</t>
  </si>
  <si>
    <t>2018 г.</t>
  </si>
  <si>
    <t>Участок теплоснабжения с.Апука</t>
  </si>
  <si>
    <t>из них не направлено на финансирование инвестиционной программы</t>
  </si>
  <si>
    <t>направлено на финансирование инвестиционной прораммы</t>
  </si>
  <si>
    <t>Бульдозер Т-170 двиг.845673 мост 951475</t>
  </si>
  <si>
    <t>Вентилятор вытяжной ВКРМ-6,3 ДУ-02 2,2кВт (с дым.)</t>
  </si>
  <si>
    <t>Емкость объемом 4,150м3 Апука</t>
  </si>
  <si>
    <t>капвложения и амортизация</t>
  </si>
  <si>
    <t>2018 год</t>
  </si>
  <si>
    <t>ИТОГО средств в 2018 г.</t>
  </si>
  <si>
    <t>Установленная мощность</t>
  </si>
  <si>
    <t>Гкал/ч</t>
  </si>
  <si>
    <t>Утверждено службой 2017г.</t>
  </si>
  <si>
    <t>1.11.14</t>
  </si>
  <si>
    <t>3.1.3</t>
  </si>
  <si>
    <t>3.1.4</t>
  </si>
  <si>
    <t>Прием отходов производства и потребления для дальнейшей утилизации (обезвреживания)</t>
  </si>
  <si>
    <t>Спецоценка условий труда</t>
  </si>
  <si>
    <t>Прибыль расчетная из нормативного уровня прибыли</t>
  </si>
  <si>
    <t>Расчетно-предпринимательская прибыль</t>
  </si>
  <si>
    <t>Отчет об исполнении инвестиционной программы</t>
  </si>
  <si>
    <t>(наименование регулируемой организации)</t>
  </si>
  <si>
    <t xml:space="preserve">в сфере теплоснабжения за </t>
  </si>
  <si>
    <t xml:space="preserve"> год</t>
  </si>
  <si>
    <t>Стоимость мероприятий,
тыс. руб. (с НДС)</t>
  </si>
  <si>
    <t>Примечание</t>
  </si>
  <si>
    <t>Модернизация системы теплоснабжения микрорайона "Верхние Тиличики" . Строительство новых тепловых сетей</t>
  </si>
  <si>
    <t>Объект находился в стадии проектирования</t>
  </si>
  <si>
    <t>Модернизация системы теплоснабжения микрорайона "Верхние Тиличики" . Строительство корпуса 2 котельной "Совхозная"</t>
  </si>
  <si>
    <t>Модернизация системы теплоснабжения микрорайона "Верхние Тиличики" . Строительство ЦТП</t>
  </si>
  <si>
    <t>Группа 2. Строительство новых объектов системы централизованного теплоснабжения, не связанных с подключением новых потребителей, в том числе строительство новых</t>
  </si>
  <si>
    <t>Подрядные работы и фактическое финансирование выполнялись с опережениекм графика.</t>
  </si>
  <si>
    <t>3.2.1.</t>
  </si>
  <si>
    <t>Удорожание оборудованияи комплектующих</t>
  </si>
  <si>
    <t>3.2.2.</t>
  </si>
  <si>
    <t>3.2.3.</t>
  </si>
  <si>
    <t>Замена котла № 1 на котельной №5 (Колхоз) сельского поселения «село Усть-Хайрюзово» на новый.</t>
  </si>
  <si>
    <t>3.2.4.</t>
  </si>
  <si>
    <t>Замена котла на котельной №3 с.Пахачи на новый</t>
  </si>
  <si>
    <t>Подрядные работы выполнены без НДС</t>
  </si>
  <si>
    <t>3.2.5.</t>
  </si>
  <si>
    <t>Замена в котельной №7 Устьевого сельского поселения котлов №1 и №2 на новые</t>
  </si>
  <si>
    <t>Авансовая оплата поставок оборудования.</t>
  </si>
  <si>
    <t>Мероприятие с выполнения снято</t>
  </si>
  <si>
    <t>Строительство крытого склада запаса топлива для котельных №1 и №2 сельского поселения «село Хаилино» (разработка проектно-сметной документации).</t>
  </si>
  <si>
    <t>Срок реализации перенесен</t>
  </si>
  <si>
    <t>Приобретение основных средств по договору финансового лизинга.</t>
  </si>
  <si>
    <t>Договор финансового лизинга заключен на месяц позже планового</t>
  </si>
  <si>
    <t>ИТОГО за 2016 год</t>
  </si>
  <si>
    <t>Генеральный директор АО "Корякэнерго"                                                                                                   С.А. Кулинич</t>
  </si>
  <si>
    <t>Отчет о достижении плановых показателей надежности и энергетической эффективности объектов системы централизованного теплоснабжения</t>
  </si>
  <si>
    <t>за 2016 год</t>
  </si>
  <si>
    <t>Показатели надежности</t>
  </si>
  <si>
    <t>Показатели энергетической эффективности</t>
  </si>
  <si>
    <t>Количество прекращений подачи тепловой энергии, теплоносителя
в результате технологических нарушений на тепловых сетях
на 1 км тепловых сетей</t>
  </si>
  <si>
    <t>Количество прекращений подачи тепловой энергии, теплоносителя
в результате технологических нарушений на источниках тепловой энергии на 1 Гкал/час установленной мощности</t>
  </si>
  <si>
    <t>Удельный расход топлива
на производство единицы тепловой энергии, отпускаемой с коллекторов источников тепловой энергии</t>
  </si>
  <si>
    <t>Отношение величины
технологических потерь тепловой энергии, теплоносителя
к материальной характеристике тепловой сети</t>
  </si>
  <si>
    <t>Величина технологических потерь
при передаче тепловой энергии, теплоносителя по тепловым сетям</t>
  </si>
  <si>
    <t>Группа 1. Реконструкция и модернизация существующих тепловых сетей</t>
  </si>
  <si>
    <t>с. Апука, Олюторский район</t>
  </si>
  <si>
    <t xml:space="preserve">Группа 2. Реконструкция и модернизация существующих объектов централизованного теплоснобжения, за исключением тепловых сетей. </t>
  </si>
  <si>
    <t>с. Хаилино, Олюторский район</t>
  </si>
  <si>
    <t>с.Усть-Хайрюзово, Тигильского района</t>
  </si>
  <si>
    <t>с. Тиличики, Олюторский район</t>
  </si>
  <si>
    <t>с. Ковран, Олюторский район</t>
  </si>
  <si>
    <t>Генеральный директор                                                                                                                                С.А. Кулинич</t>
  </si>
  <si>
    <t>Плановые значения показателей, достижение которых предусмотрено в результате реализации мероприятий инвестиционной программы</t>
  </si>
  <si>
    <t xml:space="preserve">Акционерного общества "Корякэнерго" (АО "Корякэнерго") </t>
  </si>
  <si>
    <t>Ед. изм.</t>
  </si>
  <si>
    <t>Фактические значения (2016)</t>
  </si>
  <si>
    <t>Плановые значения</t>
  </si>
  <si>
    <t xml:space="preserve">Утвержденный период </t>
  </si>
  <si>
    <t>в т.ч. по годам реализации</t>
  </si>
  <si>
    <t>Удельный расход электрической энергии на транспортировку теплоносителя</t>
  </si>
  <si>
    <r>
      <t>кВт∙ч/м</t>
    </r>
    <r>
      <rPr>
        <vertAlign val="superscript"/>
        <sz val="8"/>
        <rFont val="Times New Roman"/>
        <family val="1"/>
        <charset val="204"/>
      </rPr>
      <t>3</t>
    </r>
  </si>
  <si>
    <t>1а</t>
  </si>
  <si>
    <t>Расход электрической энергии на транспортировку теплоносителя</t>
  </si>
  <si>
    <t>кВт∙ч</t>
  </si>
  <si>
    <t>1б</t>
  </si>
  <si>
    <t>Объем транспортируемого теплоносителя</t>
  </si>
  <si>
    <r>
      <t>м</t>
    </r>
    <r>
      <rPr>
        <vertAlign val="superscript"/>
        <sz val="8"/>
        <rFont val="Times New Roman"/>
        <family val="1"/>
        <charset val="204"/>
      </rPr>
      <t>3</t>
    </r>
  </si>
  <si>
    <t>Удельный расход условного топлива на выработку единицы тепловой энергии и (или) теплоносителя</t>
  </si>
  <si>
    <t>т.у.т./Гкал</t>
  </si>
  <si>
    <r>
      <t>т.у.т./м</t>
    </r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*</t>
    </r>
  </si>
  <si>
    <t>2а</t>
  </si>
  <si>
    <t>Расход условного топлива</t>
  </si>
  <si>
    <t>т.у.т.</t>
  </si>
  <si>
    <t>2б</t>
  </si>
  <si>
    <t>Выработку тепловой энергии и (или) теплоносителя</t>
  </si>
  <si>
    <t>Гкал</t>
  </si>
  <si>
    <t>Объем присоединяемой тепловой нагрузки новых потребителей</t>
  </si>
  <si>
    <t>Потери тепловой энергии при передаче тепловой энергии по тепловым сетям</t>
  </si>
  <si>
    <t>Гкал в год</t>
  </si>
  <si>
    <t>% от полезного
отпуска тепловой энергии</t>
  </si>
  <si>
    <t>Потери теплоносителя при передаче тепловой энергии по тепловым сетям</t>
  </si>
  <si>
    <t>тонн в год для воды **</t>
  </si>
  <si>
    <t>куб. м для пара ***</t>
  </si>
  <si>
    <t>Показатели, характеризующие снижение негативного воздействия на окружающую среду, определяемые в соответствии с законодательством РФ об охране окружающей среды:</t>
  </si>
  <si>
    <t>в соответствии с законодательством РФ об охране окружающей среды</t>
  </si>
  <si>
    <t>7.1</t>
  </si>
  <si>
    <t>7.2</t>
  </si>
  <si>
    <t>Генеральный директор АО "Корякэнерго"                                                                 С.А. Кулинич</t>
  </si>
  <si>
    <t>Период финансирования инвестиционной программы (прогноз)</t>
  </si>
  <si>
    <t>Про-финанси-ровано
к 2018</t>
  </si>
  <si>
    <t>2026</t>
  </si>
  <si>
    <t>2018-2026</t>
  </si>
  <si>
    <t>Модернизация системы контроля, учета качества тепловой энергии и теплоносителя на котельной с передачей информации на центральный диспетчерский пункт.</t>
  </si>
  <si>
    <t>количество</t>
  </si>
  <si>
    <t>шт.</t>
  </si>
  <si>
    <t>Модернизация сетевой насосной группы котельной с внедрением автоматического управления и частотного регулирования</t>
  </si>
  <si>
    <t>Замена одного стального водогрейного котла на новый</t>
  </si>
  <si>
    <t>1х0,63 МВт  (1х0,54Гкал/ч)</t>
  </si>
  <si>
    <t>Замена двух стальных котлов на новые</t>
  </si>
  <si>
    <t>2х0,63 МВт     (2х0,54Гкал/ч)</t>
  </si>
  <si>
    <t>2х0,63 МВт     (2х0,54 Гкал/ч)</t>
  </si>
  <si>
    <t>Реконструкция несущих конструкций и ограждений здания котельной</t>
  </si>
  <si>
    <t>Замена стального ствола дымовой трубы и газоходов на новые</t>
  </si>
  <si>
    <t>Период: декабрь 2016 года</t>
  </si>
  <si>
    <t>Основные средства от реализации инвестиционной программы с 01.01.2017 года</t>
  </si>
  <si>
    <t>Здание котельной 1969г. (250 м2)</t>
  </si>
  <si>
    <t>Труба дымовая 2010</t>
  </si>
  <si>
    <t>Котел КВр-0,63 КД в легкой обмуровке зав.№ 2740 (со вспом. оборудованием)2011</t>
  </si>
  <si>
    <t>Котел КВр-0,63 КД в легкой обмуровке зав.№ 1007 (со вспом. оборудованием)</t>
  </si>
  <si>
    <t>Котел КВр-0,63 КД в легкой обмуровке  на стал.раме зав.№ 3092 (со вспом. оборудованием)</t>
  </si>
  <si>
    <t>Расходная емкость холодной воды (2000г.) 7м3</t>
  </si>
  <si>
    <t>Расходная емкость холодной воды №2(2000г.) 7м3</t>
  </si>
  <si>
    <t>Расходная емкость холодной воды (2000г.) 4м3</t>
  </si>
  <si>
    <t>Тепловые сети 2015г. 733,п.м.</t>
  </si>
  <si>
    <t>План 2026 года</t>
  </si>
  <si>
    <t>Срок использования (лет)</t>
  </si>
  <si>
    <t>6.</t>
  </si>
  <si>
    <t>7.</t>
  </si>
  <si>
    <t>октябрь 2019</t>
  </si>
  <si>
    <t>октябрь 2018</t>
  </si>
  <si>
    <t>октябрь 2022</t>
  </si>
  <si>
    <t>октябрь 2020</t>
  </si>
  <si>
    <t>октябрь 2024</t>
  </si>
  <si>
    <t>октябрь 2025</t>
  </si>
  <si>
    <t>14 28970340</t>
  </si>
  <si>
    <t>14 2912000</t>
  </si>
  <si>
    <t>14 2897030</t>
  </si>
  <si>
    <t>11 0000000</t>
  </si>
  <si>
    <t>12 2811284</t>
  </si>
  <si>
    <t>тыс. рублей</t>
  </si>
  <si>
    <t>в сфере теплоснабжения "Реконструкция системы теплоснабжения сельского поседения "село Апука" на 2018 - 2026 годы"</t>
  </si>
  <si>
    <t>в сфере теплоснабжения "Реконструкция системы теплоснабжения сельского поселения "село Апука" на 2018 - 2026 годы"</t>
  </si>
  <si>
    <t>«_____» _________ 2017 года</t>
  </si>
  <si>
    <t>"Реконструкция системы теплооснабжения сельского поселения "село Апука" на 2018-2026 гг."</t>
  </si>
  <si>
    <t xml:space="preserve">Показатели надежности и энергетической эффективности объектов централизованного теплоснабжения </t>
  </si>
  <si>
    <t>АО "Корякэнерго"</t>
  </si>
  <si>
    <t>Удельный расход топлива
на производство единицы тепловой энергии, отпускаемой с коллекторов источников тепловой энергии кг.у.т./Гкал.</t>
  </si>
  <si>
    <t>Отношение величины
технологических потерь тепловой энергии, теплоносителя
к материальной характеристике тепловой сети, Гкал/м2</t>
  </si>
  <si>
    <t>Величина технологических потерь
при передаче тепловой энергии, теплоносителя по тепловым сетям Гкал/год</t>
  </si>
  <si>
    <t>Текущее значение</t>
  </si>
  <si>
    <t>Плановое значение</t>
  </si>
  <si>
    <t>1</t>
  </si>
  <si>
    <t xml:space="preserve">И.о. генерального директора </t>
  </si>
  <si>
    <t xml:space="preserve">Генеральный директор АО "Корякэнерго" </t>
  </si>
  <si>
    <t>С.А.Кулинич</t>
  </si>
  <si>
    <t>Финансовый план</t>
  </si>
  <si>
    <t>инвестиционной программы АО "Корякэнерго"  в сфере теплоснабжения</t>
  </si>
  <si>
    <t xml:space="preserve"> на 2018-2026 годы"</t>
  </si>
  <si>
    <t>Источники финансирования</t>
  </si>
  <si>
    <t>Расходы на реализацию инвестиционной программы
(тыс. руб. без НДС)</t>
  </si>
  <si>
    <t>по видам деятельности</t>
  </si>
  <si>
    <t>прогизводство пара и горячей воды (тепловой энергии) котельными</t>
  </si>
  <si>
    <t>амортизационные отчисления</t>
  </si>
  <si>
    <t>прибыль, направленная на инвестиции</t>
  </si>
  <si>
    <t>средства, полученные за счет платы за подключение</t>
  </si>
  <si>
    <t>прочие собственные средства,
в т.ч. средства от эмиссии ценных бумаг</t>
  </si>
  <si>
    <t>Привлеченные средства</t>
  </si>
  <si>
    <t>прочие привлеченные средства</t>
  </si>
  <si>
    <t>Прочие источники финансирования, в т.ч. лизинг</t>
  </si>
  <si>
    <t>Справочно</t>
  </si>
  <si>
    <t xml:space="preserve">"Реконструкция системы теплоснабжения сельского поселения "село Апука" </t>
  </si>
  <si>
    <t>Предельные объемы финансирования по концессионному соглашению (с НДС)</t>
  </si>
  <si>
    <t>то же без НДС</t>
  </si>
  <si>
    <t>по годам реализации инвестпрограммы</t>
  </si>
  <si>
    <t>Паспорт инвестиционной программы в сфере теплоснабжения</t>
  </si>
  <si>
    <t>Наименование организации, в отношении которой разрабатывается инвестиционная программа в сфере теплоснабжения</t>
  </si>
  <si>
    <t>Акционергое общество "Корякэнерго" (АО "Корякэнерго")</t>
  </si>
  <si>
    <t>Местонахождение регулируемой организации</t>
  </si>
  <si>
    <t>683013, Камчатский край, г. Петропавловск-Камчатский, ул. Озерная, 1.</t>
  </si>
  <si>
    <t>Сроки реализации инвестиционной программы</t>
  </si>
  <si>
    <t>2018 - 2026 гг.</t>
  </si>
  <si>
    <t>Лицо, ответственное за разработку инвестиционной программы</t>
  </si>
  <si>
    <t>Контактная информация лица, ответственного за разработку инвестиционной программы</t>
  </si>
  <si>
    <t>Наименование органа исполнительной власти субъекта РФ , утвердившего инвестиционную программу</t>
  </si>
  <si>
    <t>Региональная служба по тарифам и ценам Камчатского края</t>
  </si>
  <si>
    <t>Местонахождение органа, утвердившего инвестиционную программу</t>
  </si>
  <si>
    <t>683003, Камчатский край, г. Петропавловск-Камчатский, ул. Ленинградская, 118</t>
  </si>
  <si>
    <t>Должностное лицо, утвердившее инвестиционную программу</t>
  </si>
  <si>
    <t>Дата утверждения инвестиционной программы</t>
  </si>
  <si>
    <t>Контактная информация лица, ответственного за утверждение инвестиционной программы</t>
  </si>
  <si>
    <t xml:space="preserve">тел. 8(4152)42-83-81, e4-mail: "SLTarif@kamgov.ru" </t>
  </si>
  <si>
    <t>Наименование органа местного самоуправления, согласовавшего инвестиционную программу</t>
  </si>
  <si>
    <t>Местонахождение органа, согласовавшего инвестиционную программу</t>
  </si>
  <si>
    <t>Должностное лицо, согласовавшее инвестиционную программу</t>
  </si>
  <si>
    <t>Дата согласования инвестиционной программы</t>
  </si>
  <si>
    <t>Контактная информация лица, ответственного за согласование инвестиционной программы</t>
  </si>
  <si>
    <t>Акционерного общества "Корякэнерго" "Реконструкция системы теплоснабжения сельского поселения "село Апука" Олюторского муниципального района на 2018-2026 годы"</t>
  </si>
  <si>
    <t>Администрация муниципального образования сельского поселения "село Апука" Олюторского муниципального района</t>
  </si>
  <si>
    <t>688816, с. Апука Олюторского района Камчатского края, ул. Центральная, 7</t>
  </si>
  <si>
    <t>Глава сельского поселения - глава администрации Воевудский Леонид Павлович</t>
  </si>
  <si>
    <t>Тел.: +7-415-445-18-22
Факс.: 5-18-17
E-mail: apuka_41@mail.ru</t>
  </si>
  <si>
    <t>Ведуший экономист отдела экономики производства Ерохин Александр Николаевич</t>
  </si>
  <si>
    <t>тел. 8(4152) 46-26-47(216); факс 8(4152) 46-26-47(254); E-mail   erohin@korenergo.ru</t>
  </si>
  <si>
    <t>с.Апука</t>
  </si>
  <si>
    <t>Генеральный директор                                                                                                       С.А. Кулинич</t>
  </si>
  <si>
    <t>Справочно: проценты по инвестиционнвм кредитам</t>
  </si>
  <si>
    <t>Капвложения с НДС</t>
  </si>
  <si>
    <t>Капвложения без НДС</t>
  </si>
  <si>
    <t>2019 год</t>
  </si>
  <si>
    <t>2020 год</t>
  </si>
  <si>
    <t>2021 год</t>
  </si>
  <si>
    <t>2022 год</t>
  </si>
  <si>
    <t>2026 год</t>
  </si>
  <si>
    <t>2025 год</t>
  </si>
  <si>
    <t>2024 год</t>
  </si>
  <si>
    <t>2023 год</t>
  </si>
  <si>
    <t>ИТОГО средств в 2019 г.</t>
  </si>
  <si>
    <t>ИТОГО средств в 2020 г.</t>
  </si>
  <si>
    <t>ИТОГО средств в 2021 г.</t>
  </si>
  <si>
    <t>ВСЕГО  2018-2026 г.г.</t>
  </si>
  <si>
    <t>ИТОГО средств в 2022 г.</t>
  </si>
  <si>
    <t>ИТОГО средств в 2023 г.</t>
  </si>
  <si>
    <t>ИТОГО средств в 2024 г.</t>
  </si>
  <si>
    <t>ИТОГО средств в 2025 г.</t>
  </si>
  <si>
    <t>ИТОГО средств в 2026 г.</t>
  </si>
  <si>
    <t>показатели в тыс.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</si>
  <si>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</si>
  <si>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</si>
  <si>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</si>
  <si>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</si>
  <si>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</si>
  <si>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</si>
  <si>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</si>
  <si>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</si>
  <si>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</si>
  <si>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</si>
  <si>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</si>
  <si>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</si>
  <si>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привлечение/возврат кредитов (без НДС)</t>
  </si>
  <si>
    <t>Расчет процентов по кредиту для целей финансирования инвестиционной программы "Реконструкция системы теплоснабжения сельского поселения "село Апука" на 2018-2026 г.г."</t>
  </si>
  <si>
    <t>Генеральный директор АО "Корякэнерго"                                                              С.А. Кулинич</t>
  </si>
  <si>
    <t>амортизация</t>
  </si>
  <si>
    <t>Паспорт программы</t>
  </si>
  <si>
    <t>Пояснительная записка</t>
  </si>
  <si>
    <t>Форма № 3-ИП ТС Плановые значения показателей, достижение которых предусмотрено в результате реализации мероприятий инвестиционной программы акционерного общества "Корякэнерго" (АО "Корякэнерго) в сфере теплоснабжения "Реконструкция системы теплоснабжения сельского поселения "село Апука" на 2018-2026 годы</t>
  </si>
  <si>
    <t>5.7.</t>
  </si>
  <si>
    <t>Форма № 4-ИП ТС Показатели надежности и энергетической эффективности объектов централизованного теплоснабжения акционерного общества "Корякэнерго" (АО "Корякэнерго) в сфере теплоснабжения "Реконструкция системы теплоснабжения сельского поселения "село Апука" на 2018-2026 годы</t>
  </si>
  <si>
    <t>5.8.</t>
  </si>
  <si>
    <t>Финансовый план инвестиционной программы АО "Корякэнерго"  в сфере теплоснабжения "Реконструкция системы теплоснабжения сельского поселения "село Апука" на 2018-2026 годы"</t>
  </si>
  <si>
    <t>5.9.</t>
  </si>
  <si>
    <t>Расчет процентов по кредиту для целей финансирования инвестиционной программы "Реконструкция системы теплоснабжения  сельского поселения "село Апука" на 2018-2026 г.г."</t>
  </si>
  <si>
    <t>5.10.</t>
  </si>
  <si>
    <t>5.11.</t>
  </si>
  <si>
    <t>3.12.</t>
  </si>
  <si>
    <t>Обосновывающие материалы (локальные сметы)</t>
  </si>
  <si>
    <t>3.12.1.</t>
  </si>
  <si>
    <t>Замена стального ствола дымовой трубы и газоходов котельной на новые (локальная смета)</t>
  </si>
  <si>
    <t>3.12.2.</t>
  </si>
  <si>
    <t>3.12.3.</t>
  </si>
  <si>
    <t>3.12.4.</t>
  </si>
  <si>
    <t>3.12.5.</t>
  </si>
  <si>
    <t xml:space="preserve"> Замена  двух стальных водотрубных котлов  на новые (локальная смета)</t>
  </si>
  <si>
    <t>3.12.6.</t>
  </si>
  <si>
    <t>Реконструкция несущих конструкций и ограждений здания котельной  (локальная смета)</t>
  </si>
  <si>
    <t>3.12.7.</t>
  </si>
  <si>
    <t>Количество листов</t>
  </si>
  <si>
    <t>СОДЕРЖАНИЕ</t>
  </si>
  <si>
    <t>3.2.6.</t>
  </si>
  <si>
    <t>3.2.7.</t>
  </si>
  <si>
    <t>Форма № 2-ИП ТС Инвестиционная программа акционерного общества "Корякэнерго" (АО "Корякэнерго") в сфере теплоснабжения "Реконструкция системы теплоснабжения сельского поселения "село Апука" на 2018-2026 годы"</t>
  </si>
  <si>
    <t xml:space="preserve"> Модернизация сетевой насосной группы котельной с внедрением автоматического управления и частотного регулирования (локальная смета)</t>
  </si>
  <si>
    <t>не устанавливается</t>
  </si>
  <si>
    <t>2017 г.</t>
  </si>
  <si>
    <t xml:space="preserve"> Замена  одного стального водотрубного котла мощностью 0,54 Гкал/час на новый (2018 гол, локальная смета)</t>
  </si>
  <si>
    <t xml:space="preserve"> Замена  одного стального водотрубного котла  на новый (2025 год, локальная смета)</t>
  </si>
  <si>
    <t>Модернизация системы контроля, учета качества тепловой энергии и теплоносителя на котельной с передачей информации на центральный диспетчерский пункт (локальная смета</t>
  </si>
  <si>
    <t>предельный размер без НДС</t>
  </si>
  <si>
    <t>по кс</t>
  </si>
  <si>
    <t>И.о. руководителя Региональной службы по тарифам и ценам Камчатского края Ирина Владимировна Лагуткина</t>
  </si>
  <si>
    <t xml:space="preserve">Износ объектов системы теплоснабжения, в том числе: </t>
  </si>
  <si>
    <t xml:space="preserve"> объектов, существующих на начало реализации Инвестиционной программы</t>
  </si>
  <si>
    <t>Приложение 1                                                                      к постановлению Региональной службы                    по тарифам и ценам Камчатского края                     от 17.11.2021 № ХХХ</t>
  </si>
  <si>
    <t>"Приложение 1                                                          к постановлению Региональной службы             по тарифам и ценам Камчатского края                              от 26.10.2017 № 608</t>
  </si>
  <si>
    <t>"</t>
  </si>
  <si>
    <t>"Приложение 2                                                 к постановлению Региональной службы               по тарифам и ценам Камчатского края от 26.10.2017 № 608</t>
  </si>
  <si>
    <t>Приложение 2                                                         к постановлению Региональной службы    по тарифам и ценам Камчатского края                                  от 17.11.2021 № ХХХ</t>
  </si>
  <si>
    <t>Приложение 3                                           к постановлению Региональной службы по тарифам и ценам Камчатского края от 17.11.2021 № ХХХ</t>
  </si>
  <si>
    <t>"Приложение 3                                           к постановлению Региональной службы по тарифам и ценам Камчатского края от 26.10.2017 № 608"</t>
  </si>
  <si>
    <t>"Приложение 4                                                 к постановлению Региональной службы по тарифам и ценам Камчатского края                             от 26.10.2017 № 608</t>
  </si>
  <si>
    <t>"Приложение 5                                  к постановлению Региональной службы по тарифам и ценам Камчатского края                               от 26.10.2017 № 608</t>
  </si>
  <si>
    <t>Приложение 4                                                 к постановлению Региональной службы по тарифам и ценам Камчатского края                                от 17.11.2021 № ХХХ</t>
  </si>
  <si>
    <t>Приложение 5                                  к постановлению Региональной службы по тарифам и ценам Камчатского края                               от 17.11.2021 № ХХХ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</si>
</sst>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р_._-;\-* #,##0.00_р_._-;_-* &quot;-&quot;??_р_._-;_-@_-"/>
    <numFmt numFmtId="165" formatCode="_-* #,##0;\(#,##0\);_-* &quot;-&quot;??;_-@"/>
    <numFmt numFmtId="166" formatCode="_(* #,##0_);_(* \(#,##0\);_(* &quot;-&quot;_);_(@_)"/>
    <numFmt numFmtId="167" formatCode="#,##0.0"/>
    <numFmt numFmtId="168" formatCode="#,##0.000"/>
    <numFmt numFmtId="169" formatCode="0.0%"/>
    <numFmt numFmtId="170" formatCode="_(* #,##0.00_);_(* \(#,##0.00\);_(* &quot;-&quot;_);_(@_)"/>
    <numFmt numFmtId="171" formatCode="0.000"/>
    <numFmt numFmtId="172" formatCode="0.0"/>
    <numFmt numFmtId="173" formatCode="0.0000"/>
    <numFmt numFmtId="174" formatCode="[$-F419]yyyy\,\ mmmm;@"/>
    <numFmt numFmtId="175" formatCode="#,##0_ ;[Red]\-#,##0\ "/>
    <numFmt numFmtId="176" formatCode="#,##0.0_ ;[Red]\-#,##0.0\ "/>
  </numFmts>
  <fonts count="96" x14ac:knownFonts="1">
    <font>
      <sz val="12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3.5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3.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color indexed="63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 CYR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1"/>
      <name val="Tahoma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 Cyr"/>
      <family val="1"/>
      <charset val="204"/>
    </font>
    <font>
      <sz val="16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CC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indexed="8"/>
      <name val="Calibri"/>
      <family val="2"/>
    </font>
    <font>
      <u/>
      <sz val="10"/>
      <color theme="10"/>
      <name val="Arial Cyr"/>
      <charset val="204"/>
    </font>
    <font>
      <sz val="12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6.5"/>
      <name val="Times New Roman"/>
      <family val="1"/>
      <charset val="204"/>
    </font>
    <font>
      <sz val="6.5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2" fillId="0" borderId="0"/>
    <xf numFmtId="0" fontId="1" fillId="0" borderId="0"/>
    <xf numFmtId="0" fontId="36" fillId="0" borderId="0"/>
    <xf numFmtId="0" fontId="63" fillId="0" borderId="0"/>
    <xf numFmtId="0" fontId="53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2" fillId="0" borderId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72" fillId="0" borderId="0"/>
    <xf numFmtId="9" fontId="74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36" fillId="0" borderId="0"/>
    <xf numFmtId="166" fontId="36" fillId="0" borderId="0" applyFont="0" applyFill="0" applyBorder="0" applyAlignment="0" applyProtection="0"/>
  </cellStyleXfs>
  <cellXfs count="125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Fill="1"/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2" fontId="1" fillId="0" borderId="0" xfId="0" applyNumberFormat="1" applyFont="1" applyAlignment="1">
      <alignment vertical="top"/>
    </xf>
    <xf numFmtId="2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/>
    </xf>
    <xf numFmtId="2" fontId="1" fillId="0" borderId="0" xfId="0" applyNumberFormat="1" applyFont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/>
    <xf numFmtId="0" fontId="1" fillId="0" borderId="15" xfId="0" applyFont="1" applyFill="1" applyBorder="1"/>
    <xf numFmtId="0" fontId="1" fillId="0" borderId="16" xfId="0" applyFont="1" applyBorder="1" applyAlignment="1">
      <alignment vertical="top"/>
    </xf>
    <xf numFmtId="0" fontId="1" fillId="0" borderId="0" xfId="0" applyFont="1" applyFill="1" applyBorder="1"/>
    <xf numFmtId="0" fontId="1" fillId="0" borderId="17" xfId="0" applyFont="1" applyBorder="1" applyAlignment="1">
      <alignment vertical="top"/>
    </xf>
    <xf numFmtId="0" fontId="1" fillId="0" borderId="18" xfId="0" applyFont="1" applyBorder="1"/>
    <xf numFmtId="0" fontId="21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23" fillId="0" borderId="2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2" fillId="0" borderId="2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/>
    </xf>
    <xf numFmtId="0" fontId="2" fillId="0" borderId="21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indent="4"/>
    </xf>
    <xf numFmtId="0" fontId="1" fillId="0" borderId="0" xfId="0" applyFont="1" applyBorder="1" applyAlignment="1">
      <alignment vertical="top"/>
    </xf>
    <xf numFmtId="0" fontId="2" fillId="0" borderId="34" xfId="0" applyFont="1" applyBorder="1" applyAlignment="1">
      <alignment horizontal="justify" vertical="center" wrapText="1"/>
    </xf>
    <xf numFmtId="0" fontId="0" fillId="0" borderId="26" xfId="0" applyBorder="1" applyAlignment="1">
      <alignment horizontal="center" vertical="center"/>
    </xf>
    <xf numFmtId="0" fontId="1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0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16" fontId="2" fillId="0" borderId="13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26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45" xfId="0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0" fontId="2" fillId="0" borderId="4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2" xfId="0" applyFont="1" applyBorder="1" applyAlignment="1">
      <alignment vertical="top" wrapText="1"/>
    </xf>
    <xf numFmtId="0" fontId="2" fillId="0" borderId="4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2" fillId="0" borderId="48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16" fontId="1" fillId="0" borderId="13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49" xfId="0" applyFon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justify" vertical="center" wrapText="1"/>
    </xf>
    <xf numFmtId="0" fontId="23" fillId="0" borderId="4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1" fillId="0" borderId="54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1" fillId="0" borderId="55" xfId="0" applyFont="1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41" xfId="0" applyBorder="1" applyAlignment="1">
      <alignment vertical="center"/>
    </xf>
    <xf numFmtId="0" fontId="2" fillId="0" borderId="48" xfId="0" applyFont="1" applyBorder="1" applyAlignment="1">
      <alignment horizontal="right" vertical="center"/>
    </xf>
    <xf numFmtId="0" fontId="2" fillId="0" borderId="57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47" fillId="0" borderId="0" xfId="0" applyFont="1"/>
    <xf numFmtId="0" fontId="47" fillId="0" borderId="0" xfId="0" applyFont="1" applyAlignment="1">
      <alignment vertical="center"/>
    </xf>
    <xf numFmtId="0" fontId="47" fillId="0" borderId="13" xfId="0" applyFont="1" applyBorder="1"/>
    <xf numFmtId="0" fontId="47" fillId="0" borderId="11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7" fillId="0" borderId="21" xfId="0" applyFont="1" applyBorder="1"/>
    <xf numFmtId="0" fontId="1" fillId="0" borderId="0" xfId="0" applyFont="1" applyAlignment="1">
      <alignment horizontal="left" wrapText="1"/>
    </xf>
    <xf numFmtId="2" fontId="29" fillId="0" borderId="0" xfId="0" applyNumberFormat="1" applyFont="1" applyAlignment="1">
      <alignment horizontal="right" vertical="top" wrapText="1"/>
    </xf>
    <xf numFmtId="16" fontId="2" fillId="0" borderId="3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6" xfId="0" applyFont="1" applyBorder="1"/>
    <xf numFmtId="0" fontId="1" fillId="0" borderId="15" xfId="0" applyFont="1" applyBorder="1"/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1" fillId="0" borderId="57" xfId="0" applyFont="1" applyBorder="1" applyAlignment="1">
      <alignment horizontal="justify" vertical="center" wrapText="1"/>
    </xf>
    <xf numFmtId="0" fontId="0" fillId="0" borderId="32" xfId="0" applyBorder="1" applyAlignment="1">
      <alignment vertical="center"/>
    </xf>
    <xf numFmtId="0" fontId="0" fillId="0" borderId="58" xfId="0" applyBorder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/>
    <xf numFmtId="0" fontId="1" fillId="0" borderId="31" xfId="0" applyFont="1" applyBorder="1"/>
    <xf numFmtId="0" fontId="1" fillId="0" borderId="30" xfId="0" applyFont="1" applyBorder="1"/>
    <xf numFmtId="0" fontId="1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 wrapText="1"/>
    </xf>
    <xf numFmtId="0" fontId="1" fillId="0" borderId="30" xfId="0" applyFont="1" applyFill="1" applyBorder="1"/>
    <xf numFmtId="0" fontId="1" fillId="0" borderId="29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1" fillId="0" borderId="0" xfId="0" applyFont="1" applyFill="1" applyAlignment="1">
      <alignment horizontal="right"/>
    </xf>
    <xf numFmtId="0" fontId="0" fillId="0" borderId="0" xfId="0" applyFill="1"/>
    <xf numFmtId="0" fontId="30" fillId="0" borderId="0" xfId="0" applyFont="1" applyFill="1" applyAlignment="1">
      <alignment horizontal="right"/>
    </xf>
    <xf numFmtId="0" fontId="31" fillId="0" borderId="60" xfId="0" applyFont="1" applyFill="1" applyBorder="1" applyAlignment="1">
      <alignment horizontal="justify"/>
    </xf>
    <xf numFmtId="0" fontId="30" fillId="0" borderId="60" xfId="0" applyFont="1" applyFill="1" applyBorder="1" applyAlignment="1">
      <alignment horizontal="justify"/>
    </xf>
    <xf numFmtId="0" fontId="30" fillId="0" borderId="61" xfId="0" applyFont="1" applyFill="1" applyBorder="1" applyAlignment="1">
      <alignment horizontal="justify"/>
    </xf>
    <xf numFmtId="0" fontId="31" fillId="0" borderId="60" xfId="0" applyFont="1" applyFill="1" applyBorder="1" applyAlignment="1">
      <alignment vertical="top" wrapText="1"/>
    </xf>
    <xf numFmtId="0" fontId="31" fillId="0" borderId="62" xfId="0" applyFont="1" applyFill="1" applyBorder="1" applyAlignment="1">
      <alignment vertical="top" wrapText="1"/>
    </xf>
    <xf numFmtId="0" fontId="30" fillId="0" borderId="63" xfId="0" applyFont="1" applyFill="1" applyBorder="1" applyAlignment="1">
      <alignment horizontal="justify" vertical="top" wrapText="1"/>
    </xf>
    <xf numFmtId="0" fontId="31" fillId="0" borderId="61" xfId="0" applyFont="1" applyFill="1" applyBorder="1" applyAlignment="1">
      <alignment vertical="top" wrapText="1"/>
    </xf>
    <xf numFmtId="0" fontId="30" fillId="0" borderId="60" xfId="0" applyFont="1" applyFill="1" applyBorder="1" applyAlignment="1">
      <alignment horizontal="justify" vertical="top" wrapText="1"/>
    </xf>
    <xf numFmtId="0" fontId="30" fillId="0" borderId="61" xfId="0" applyFont="1" applyFill="1" applyBorder="1" applyAlignment="1">
      <alignment vertical="top" wrapText="1"/>
    </xf>
    <xf numFmtId="0" fontId="30" fillId="0" borderId="60" xfId="0" applyFont="1" applyFill="1" applyBorder="1" applyAlignment="1">
      <alignment vertical="top" wrapText="1"/>
    </xf>
    <xf numFmtId="0" fontId="30" fillId="0" borderId="60" xfId="0" quotePrefix="1" applyFont="1" applyFill="1" applyBorder="1" applyAlignment="1">
      <alignment vertical="top" wrapText="1"/>
    </xf>
    <xf numFmtId="0" fontId="30" fillId="0" borderId="61" xfId="0" applyFont="1" applyFill="1" applyBorder="1" applyAlignment="1">
      <alignment horizontal="justify" vertical="top" wrapText="1"/>
    </xf>
    <xf numFmtId="0" fontId="30" fillId="0" borderId="64" xfId="0" applyFont="1" applyFill="1" applyBorder="1" applyAlignment="1">
      <alignment vertical="top" wrapText="1"/>
    </xf>
    <xf numFmtId="0" fontId="30" fillId="0" borderId="62" xfId="0" quotePrefix="1" applyFont="1" applyFill="1" applyBorder="1" applyAlignment="1">
      <alignment vertical="top" wrapText="1"/>
    </xf>
    <xf numFmtId="0" fontId="30" fillId="0" borderId="62" xfId="0" applyFont="1" applyFill="1" applyBorder="1" applyAlignment="1">
      <alignment vertical="top" wrapText="1"/>
    </xf>
    <xf numFmtId="0" fontId="31" fillId="0" borderId="62" xfId="0" applyFont="1" applyFill="1" applyBorder="1" applyAlignment="1">
      <alignment horizontal="justify" vertical="top" wrapText="1"/>
    </xf>
    <xf numFmtId="0" fontId="31" fillId="0" borderId="60" xfId="0" applyFont="1" applyFill="1" applyBorder="1" applyAlignment="1">
      <alignment horizontal="justify" vertical="top" wrapText="1"/>
    </xf>
    <xf numFmtId="0" fontId="30" fillId="0" borderId="65" xfId="0" quotePrefix="1" applyFont="1" applyFill="1" applyBorder="1" applyAlignment="1">
      <alignment horizontal="justify" vertical="top" wrapText="1"/>
    </xf>
    <xf numFmtId="0" fontId="30" fillId="0" borderId="44" xfId="0" applyFont="1" applyFill="1" applyBorder="1" applyAlignment="1">
      <alignment horizontal="justify" vertical="top" wrapText="1"/>
    </xf>
    <xf numFmtId="0" fontId="30" fillId="0" borderId="61" xfId="0" applyFont="1" applyFill="1" applyBorder="1" applyAlignment="1">
      <alignment horizontal="left" vertical="top" wrapText="1"/>
    </xf>
    <xf numFmtId="0" fontId="30" fillId="0" borderId="65" xfId="0" applyFont="1" applyFill="1" applyBorder="1" applyAlignment="1">
      <alignment vertical="top" wrapText="1"/>
    </xf>
    <xf numFmtId="0" fontId="31" fillId="0" borderId="61" xfId="0" applyFont="1" applyFill="1" applyBorder="1" applyAlignment="1">
      <alignment horizontal="left" vertical="center" wrapText="1"/>
    </xf>
    <xf numFmtId="0" fontId="30" fillId="0" borderId="65" xfId="0" applyFont="1" applyFill="1" applyBorder="1" applyAlignment="1">
      <alignment horizontal="justify" vertical="top" wrapText="1"/>
    </xf>
    <xf numFmtId="0" fontId="31" fillId="0" borderId="61" xfId="0" applyFont="1" applyFill="1" applyBorder="1" applyAlignment="1">
      <alignment horizontal="center" vertical="center" wrapText="1"/>
    </xf>
    <xf numFmtId="0" fontId="30" fillId="0" borderId="62" xfId="0" applyFont="1" applyFill="1" applyBorder="1"/>
    <xf numFmtId="0" fontId="30" fillId="0" borderId="0" xfId="0" applyFont="1" applyFill="1" applyAlignment="1">
      <alignment horizontal="left" wrapText="1"/>
    </xf>
    <xf numFmtId="1" fontId="31" fillId="0" borderId="0" xfId="0" applyNumberFormat="1" applyFont="1" applyFill="1" applyAlignment="1">
      <alignment horizontal="left" vertical="top"/>
    </xf>
    <xf numFmtId="49" fontId="30" fillId="0" borderId="0" xfId="0" applyNumberFormat="1" applyFont="1" applyFill="1" applyAlignment="1">
      <alignment horizontal="left" vertical="top" wrapText="1"/>
    </xf>
    <xf numFmtId="49" fontId="30" fillId="0" borderId="0" xfId="0" applyNumberFormat="1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37" applyFont="1"/>
    <xf numFmtId="0" fontId="1" fillId="0" borderId="0" xfId="37" applyFont="1" applyAlignment="1">
      <alignment horizontal="right"/>
    </xf>
    <xf numFmtId="0" fontId="32" fillId="0" borderId="0" xfId="0" applyFont="1"/>
    <xf numFmtId="0" fontId="2" fillId="0" borderId="0" xfId="37" applyFont="1"/>
    <xf numFmtId="165" fontId="2" fillId="0" borderId="14" xfId="37" applyNumberFormat="1" applyFont="1" applyBorder="1" applyAlignment="1">
      <alignment horizontal="center" vertical="center" wrapText="1"/>
    </xf>
    <xf numFmtId="165" fontId="2" fillId="0" borderId="11" xfId="37" applyNumberFormat="1" applyFont="1" applyBorder="1" applyAlignment="1">
      <alignment horizontal="center" wrapText="1"/>
    </xf>
    <xf numFmtId="0" fontId="33" fillId="0" borderId="19" xfId="37" applyFont="1" applyBorder="1" applyAlignment="1">
      <alignment horizontal="center"/>
    </xf>
    <xf numFmtId="165" fontId="2" fillId="24" borderId="11" xfId="37" applyNumberFormat="1" applyFont="1" applyFill="1" applyBorder="1" applyAlignment="1">
      <alignment horizontal="center" vertical="center" wrapText="1"/>
    </xf>
    <xf numFmtId="165" fontId="2" fillId="24" borderId="11" xfId="37" applyNumberFormat="1" applyFont="1" applyFill="1" applyBorder="1" applyAlignment="1">
      <alignment horizontal="center" wrapText="1"/>
    </xf>
    <xf numFmtId="165" fontId="34" fillId="24" borderId="11" xfId="37" applyNumberFormat="1" applyFont="1" applyFill="1" applyBorder="1" applyAlignment="1">
      <alignment horizontal="center" wrapText="1"/>
    </xf>
    <xf numFmtId="165" fontId="1" fillId="0" borderId="11" xfId="37" applyNumberFormat="1" applyFont="1" applyBorder="1" applyAlignment="1">
      <alignment wrapText="1"/>
    </xf>
    <xf numFmtId="165" fontId="1" fillId="0" borderId="11" xfId="37" applyNumberFormat="1" applyFont="1" applyBorder="1" applyAlignment="1">
      <alignment horizontal="left" wrapText="1" indent="1"/>
    </xf>
    <xf numFmtId="165" fontId="28" fillId="0" borderId="11" xfId="37" applyNumberFormat="1" applyFont="1" applyBorder="1" applyAlignment="1">
      <alignment horizontal="left" wrapText="1" indent="2"/>
    </xf>
    <xf numFmtId="165" fontId="1" fillId="0" borderId="11" xfId="37" applyNumberFormat="1" applyFont="1" applyBorder="1"/>
    <xf numFmtId="165" fontId="1" fillId="0" borderId="11" xfId="37" applyNumberFormat="1" applyFont="1" applyBorder="1" applyAlignment="1">
      <alignment vertical="center"/>
    </xf>
    <xf numFmtId="165" fontId="35" fillId="0" borderId="0" xfId="37" applyNumberFormat="1" applyFont="1" applyAlignment="1">
      <alignment wrapText="1"/>
    </xf>
    <xf numFmtId="165" fontId="2" fillId="24" borderId="11" xfId="37" applyNumberFormat="1" applyFont="1" applyFill="1" applyBorder="1" applyAlignment="1">
      <alignment horizontal="right" vertical="center" wrapText="1"/>
    </xf>
    <xf numFmtId="165" fontId="2" fillId="24" borderId="11" xfId="37" applyNumberFormat="1" applyFont="1" applyFill="1" applyBorder="1" applyAlignment="1">
      <alignment horizontal="right" wrapText="1"/>
    </xf>
    <xf numFmtId="165" fontId="34" fillId="24" borderId="11" xfId="37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" fillId="0" borderId="0" xfId="37" applyFont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distributed"/>
    </xf>
    <xf numFmtId="0" fontId="38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center" vertical="distributed" wrapText="1"/>
    </xf>
    <xf numFmtId="1" fontId="1" fillId="0" borderId="25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3" fontId="43" fillId="0" borderId="46" xfId="0" applyNumberFormat="1" applyFont="1" applyBorder="1" applyAlignment="1">
      <alignment vertical="center"/>
    </xf>
    <xf numFmtId="3" fontId="43" fillId="0" borderId="45" xfId="0" applyNumberFormat="1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4" fontId="44" fillId="0" borderId="1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3" fontId="44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9" fontId="43" fillId="0" borderId="66" xfId="0" applyNumberFormat="1" applyFont="1" applyBorder="1" applyAlignment="1">
      <alignment vertical="center"/>
    </xf>
    <xf numFmtId="0" fontId="1" fillId="0" borderId="2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40" fillId="0" borderId="24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167" fontId="43" fillId="0" borderId="0" xfId="0" applyNumberFormat="1" applyFont="1" applyBorder="1" applyAlignment="1">
      <alignment horizontal="center" vertical="center"/>
    </xf>
    <xf numFmtId="3" fontId="40" fillId="0" borderId="0" xfId="0" applyNumberFormat="1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40" fillId="0" borderId="13" xfId="0" applyFont="1" applyFill="1" applyBorder="1" applyAlignment="1">
      <alignment horizontal="left" vertical="center"/>
    </xf>
    <xf numFmtId="0" fontId="40" fillId="0" borderId="13" xfId="0" applyFont="1" applyFill="1" applyBorder="1" applyAlignment="1">
      <alignment vertical="center"/>
    </xf>
    <xf numFmtId="166" fontId="40" fillId="0" borderId="0" xfId="0" applyNumberFormat="1" applyFont="1" applyBorder="1" applyAlignment="1">
      <alignment vertical="center"/>
    </xf>
    <xf numFmtId="0" fontId="40" fillId="0" borderId="21" xfId="0" applyFont="1" applyFill="1" applyBorder="1" applyAlignment="1">
      <alignment vertical="center"/>
    </xf>
    <xf numFmtId="3" fontId="30" fillId="0" borderId="67" xfId="0" applyNumberFormat="1" applyFont="1" applyBorder="1" applyAlignment="1">
      <alignment vertical="center"/>
    </xf>
    <xf numFmtId="10" fontId="30" fillId="0" borderId="36" xfId="0" applyNumberFormat="1" applyFont="1" applyBorder="1" applyAlignment="1">
      <alignment vertical="center"/>
    </xf>
    <xf numFmtId="10" fontId="30" fillId="0" borderId="68" xfId="0" applyNumberFormat="1" applyFont="1" applyBorder="1" applyAlignment="1">
      <alignment vertical="center"/>
    </xf>
    <xf numFmtId="10" fontId="30" fillId="0" borderId="69" xfId="0" applyNumberFormat="1" applyFont="1" applyBorder="1" applyAlignment="1">
      <alignment vertical="center"/>
    </xf>
    <xf numFmtId="3" fontId="30" fillId="0" borderId="11" xfId="0" applyNumberFormat="1" applyFont="1" applyBorder="1" applyAlignment="1">
      <alignment vertical="center"/>
    </xf>
    <xf numFmtId="3" fontId="30" fillId="0" borderId="16" xfId="0" applyNumberFormat="1" applyFont="1" applyBorder="1" applyAlignment="1">
      <alignment vertical="center"/>
    </xf>
    <xf numFmtId="166" fontId="31" fillId="0" borderId="11" xfId="0" applyNumberFormat="1" applyFont="1" applyBorder="1" applyAlignment="1">
      <alignment vertical="center"/>
    </xf>
    <xf numFmtId="166" fontId="30" fillId="0" borderId="11" xfId="0" applyNumberFormat="1" applyFont="1" applyBorder="1" applyAlignment="1">
      <alignment vertical="center"/>
    </xf>
    <xf numFmtId="166" fontId="31" fillId="0" borderId="16" xfId="0" applyNumberFormat="1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3" fontId="30" fillId="0" borderId="68" xfId="0" applyNumberFormat="1" applyFont="1" applyBorder="1" applyAlignment="1">
      <alignment vertical="center"/>
    </xf>
    <xf numFmtId="3" fontId="43" fillId="0" borderId="69" xfId="0" applyNumberFormat="1" applyFont="1" applyBorder="1" applyAlignment="1">
      <alignment vertical="center"/>
    </xf>
    <xf numFmtId="10" fontId="30" fillId="0" borderId="20" xfId="0" applyNumberFormat="1" applyFont="1" applyBorder="1" applyAlignment="1">
      <alignment vertical="center"/>
    </xf>
    <xf numFmtId="3" fontId="30" fillId="0" borderId="68" xfId="0" applyNumberFormat="1" applyFont="1" applyBorder="1" applyAlignment="1">
      <alignment horizontal="right" vertical="center"/>
    </xf>
    <xf numFmtId="10" fontId="30" fillId="0" borderId="11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0" fontId="43" fillId="0" borderId="0" xfId="0" applyNumberFormat="1" applyFont="1" applyFill="1" applyBorder="1" applyAlignment="1">
      <alignment vertical="center"/>
    </xf>
    <xf numFmtId="4" fontId="43" fillId="0" borderId="0" xfId="0" applyNumberFormat="1" applyFont="1" applyFill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166" fontId="46" fillId="0" borderId="0" xfId="0" applyNumberFormat="1" applyFont="1" applyBorder="1" applyAlignment="1">
      <alignment vertical="center"/>
    </xf>
    <xf numFmtId="166" fontId="43" fillId="0" borderId="0" xfId="0" applyNumberFormat="1" applyFont="1" applyBorder="1" applyAlignment="1">
      <alignment vertical="center"/>
    </xf>
    <xf numFmtId="166" fontId="43" fillId="0" borderId="0" xfId="0" applyNumberFormat="1" applyFont="1" applyFill="1" applyBorder="1" applyAlignment="1">
      <alignment vertical="center"/>
    </xf>
    <xf numFmtId="168" fontId="43" fillId="0" borderId="0" xfId="0" applyNumberFormat="1" applyFont="1" applyBorder="1" applyAlignment="1">
      <alignment horizontal="center" vertical="center"/>
    </xf>
    <xf numFmtId="166" fontId="46" fillId="0" borderId="0" xfId="0" applyNumberFormat="1" applyFont="1" applyFill="1" applyBorder="1" applyAlignment="1">
      <alignment vertical="center"/>
    </xf>
    <xf numFmtId="169" fontId="46" fillId="0" borderId="0" xfId="0" applyNumberFormat="1" applyFont="1" applyFill="1" applyBorder="1" applyAlignment="1">
      <alignment vertical="center"/>
    </xf>
    <xf numFmtId="170" fontId="46" fillId="0" borderId="0" xfId="0" applyNumberFormat="1" applyFont="1" applyFill="1" applyBorder="1" applyAlignment="1">
      <alignment vertical="center"/>
    </xf>
    <xf numFmtId="1" fontId="1" fillId="0" borderId="26" xfId="0" applyNumberFormat="1" applyFont="1" applyFill="1" applyBorder="1" applyAlignment="1">
      <alignment horizontal="center" vertical="center"/>
    </xf>
    <xf numFmtId="10" fontId="30" fillId="0" borderId="12" xfId="0" applyNumberFormat="1" applyFont="1" applyFill="1" applyBorder="1" applyAlignment="1">
      <alignment vertical="center"/>
    </xf>
    <xf numFmtId="0" fontId="1" fillId="0" borderId="71" xfId="0" applyFont="1" applyBorder="1" applyAlignment="1">
      <alignment vertical="center"/>
    </xf>
    <xf numFmtId="0" fontId="1" fillId="0" borderId="72" xfId="0" applyFont="1" applyBorder="1" applyAlignment="1">
      <alignment vertical="center"/>
    </xf>
    <xf numFmtId="3" fontId="30" fillId="0" borderId="12" xfId="0" applyNumberFormat="1" applyFont="1" applyBorder="1" applyAlignment="1">
      <alignment vertical="center"/>
    </xf>
    <xf numFmtId="3" fontId="30" fillId="0" borderId="15" xfId="0" applyNumberFormat="1" applyFont="1" applyBorder="1" applyAlignment="1">
      <alignment vertical="center"/>
    </xf>
    <xf numFmtId="0" fontId="1" fillId="0" borderId="71" xfId="0" applyFont="1" applyFill="1" applyBorder="1" applyAlignment="1">
      <alignment vertical="center"/>
    </xf>
    <xf numFmtId="3" fontId="1" fillId="0" borderId="72" xfId="0" applyNumberFormat="1" applyFont="1" applyBorder="1" applyAlignment="1">
      <alignment vertical="center"/>
    </xf>
    <xf numFmtId="1" fontId="1" fillId="0" borderId="26" xfId="0" applyNumberFormat="1" applyFont="1" applyBorder="1" applyAlignment="1">
      <alignment horizontal="center" vertical="center"/>
    </xf>
    <xf numFmtId="167" fontId="43" fillId="0" borderId="72" xfId="0" applyNumberFormat="1" applyFont="1" applyBorder="1" applyAlignment="1">
      <alignment horizontal="center" vertical="center"/>
    </xf>
    <xf numFmtId="166" fontId="31" fillId="0" borderId="12" xfId="0" applyNumberFormat="1" applyFont="1" applyBorder="1" applyAlignment="1">
      <alignment vertical="center"/>
    </xf>
    <xf numFmtId="166" fontId="30" fillId="0" borderId="12" xfId="0" applyNumberFormat="1" applyFont="1" applyBorder="1" applyAlignment="1">
      <alignment vertical="center"/>
    </xf>
    <xf numFmtId="166" fontId="31" fillId="0" borderId="15" xfId="0" applyNumberFormat="1" applyFont="1" applyBorder="1" applyAlignment="1">
      <alignment vertical="center"/>
    </xf>
    <xf numFmtId="1" fontId="50" fillId="0" borderId="0" xfId="0" applyNumberFormat="1" applyFont="1" applyBorder="1" applyAlignment="1">
      <alignment horizontal="center" vertical="center"/>
    </xf>
    <xf numFmtId="0" fontId="1" fillId="0" borderId="73" xfId="0" applyFont="1" applyFill="1" applyBorder="1" applyAlignment="1">
      <alignment vertical="center"/>
    </xf>
    <xf numFmtId="0" fontId="1" fillId="0" borderId="70" xfId="0" applyFont="1" applyFill="1" applyBorder="1" applyAlignment="1">
      <alignment vertical="center"/>
    </xf>
    <xf numFmtId="0" fontId="1" fillId="0" borderId="74" xfId="0" applyFont="1" applyFill="1" applyBorder="1" applyAlignment="1">
      <alignment vertical="center"/>
    </xf>
    <xf numFmtId="0" fontId="1" fillId="0" borderId="75" xfId="0" applyFont="1" applyFill="1" applyBorder="1" applyAlignment="1">
      <alignment vertical="center"/>
    </xf>
    <xf numFmtId="0" fontId="1" fillId="0" borderId="67" xfId="0" applyFont="1" applyFill="1" applyBorder="1" applyAlignment="1">
      <alignment vertical="center"/>
    </xf>
    <xf numFmtId="0" fontId="1" fillId="0" borderId="68" xfId="0" applyFont="1" applyFill="1" applyBorder="1" applyAlignment="1">
      <alignment vertical="center"/>
    </xf>
    <xf numFmtId="0" fontId="1" fillId="0" borderId="69" xfId="0" applyFont="1" applyFill="1" applyBorder="1" applyAlignment="1">
      <alignment vertical="center"/>
    </xf>
    <xf numFmtId="166" fontId="31" fillId="0" borderId="11" xfId="0" applyNumberFormat="1" applyFont="1" applyFill="1" applyBorder="1" applyAlignment="1">
      <alignment vertical="center"/>
    </xf>
    <xf numFmtId="3" fontId="30" fillId="0" borderId="36" xfId="0" applyNumberFormat="1" applyFont="1" applyBorder="1" applyAlignment="1">
      <alignment horizontal="right" vertical="center"/>
    </xf>
    <xf numFmtId="3" fontId="30" fillId="0" borderId="20" xfId="0" applyNumberFormat="1" applyFont="1" applyBorder="1" applyAlignment="1">
      <alignment vertical="center"/>
    </xf>
    <xf numFmtId="166" fontId="30" fillId="0" borderId="11" xfId="0" applyNumberFormat="1" applyFont="1" applyFill="1" applyBorder="1" applyAlignment="1">
      <alignment vertical="center"/>
    </xf>
    <xf numFmtId="166" fontId="30" fillId="0" borderId="12" xfId="0" applyNumberFormat="1" applyFont="1" applyFill="1" applyBorder="1" applyAlignment="1">
      <alignment vertical="center"/>
    </xf>
    <xf numFmtId="168" fontId="30" fillId="0" borderId="11" xfId="0" applyNumberFormat="1" applyFont="1" applyBorder="1" applyAlignment="1">
      <alignment horizontal="center" vertical="center"/>
    </xf>
    <xf numFmtId="168" fontId="30" fillId="0" borderId="12" xfId="0" applyNumberFormat="1" applyFont="1" applyBorder="1" applyAlignment="1">
      <alignment horizontal="center" vertical="center"/>
    </xf>
    <xf numFmtId="166" fontId="31" fillId="0" borderId="12" xfId="0" applyNumberFormat="1" applyFont="1" applyFill="1" applyBorder="1" applyAlignment="1">
      <alignment vertical="center"/>
    </xf>
    <xf numFmtId="169" fontId="31" fillId="0" borderId="11" xfId="0" applyNumberFormat="1" applyFont="1" applyFill="1" applyBorder="1" applyAlignment="1">
      <alignment vertical="center"/>
    </xf>
    <xf numFmtId="169" fontId="31" fillId="0" borderId="12" xfId="0" applyNumberFormat="1" applyFont="1" applyFill="1" applyBorder="1" applyAlignment="1">
      <alignment vertical="center"/>
    </xf>
    <xf numFmtId="170" fontId="31" fillId="0" borderId="11" xfId="0" applyNumberFormat="1" applyFont="1" applyFill="1" applyBorder="1" applyAlignment="1">
      <alignment vertical="center"/>
    </xf>
    <xf numFmtId="170" fontId="31" fillId="0" borderId="12" xfId="0" applyNumberFormat="1" applyFont="1" applyFill="1" applyBorder="1" applyAlignment="1">
      <alignment vertical="center"/>
    </xf>
    <xf numFmtId="170" fontId="31" fillId="0" borderId="16" xfId="0" applyNumberFormat="1" applyFont="1" applyFill="1" applyBorder="1" applyAlignment="1">
      <alignment vertical="center"/>
    </xf>
    <xf numFmtId="170" fontId="31" fillId="0" borderId="15" xfId="0" applyNumberFormat="1" applyFont="1" applyFill="1" applyBorder="1" applyAlignment="1">
      <alignment vertical="center"/>
    </xf>
    <xf numFmtId="3" fontId="30" fillId="0" borderId="68" xfId="0" applyNumberFormat="1" applyFont="1" applyFill="1" applyBorder="1" applyAlignment="1">
      <alignment horizontal="right" vertical="center"/>
    </xf>
    <xf numFmtId="0" fontId="1" fillId="0" borderId="74" xfId="0" applyFont="1" applyBorder="1" applyAlignment="1">
      <alignment vertical="center"/>
    </xf>
    <xf numFmtId="0" fontId="1" fillId="0" borderId="73" xfId="0" applyFont="1" applyBorder="1" applyAlignment="1">
      <alignment vertical="center"/>
    </xf>
    <xf numFmtId="0" fontId="1" fillId="0" borderId="76" xfId="0" applyFont="1" applyFill="1" applyBorder="1" applyAlignment="1">
      <alignment vertical="center"/>
    </xf>
    <xf numFmtId="10" fontId="30" fillId="0" borderId="68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0" fontId="38" fillId="0" borderId="11" xfId="0" applyFont="1" applyBorder="1"/>
    <xf numFmtId="0" fontId="52" fillId="0" borderId="0" xfId="0" applyFont="1" applyAlignment="1">
      <alignment horizontal="right"/>
    </xf>
    <xf numFmtId="0" fontId="52" fillId="0" borderId="0" xfId="0" applyFont="1" applyAlignment="1"/>
    <xf numFmtId="0" fontId="1" fillId="0" borderId="46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1" fillId="0" borderId="66" xfId="0" applyFont="1" applyFill="1" applyBorder="1" applyAlignment="1">
      <alignment vertical="center"/>
    </xf>
    <xf numFmtId="0" fontId="1" fillId="0" borderId="53" xfId="0" applyFont="1" applyFill="1" applyBorder="1" applyAlignment="1">
      <alignment horizontal="left" vertical="center"/>
    </xf>
    <xf numFmtId="0" fontId="1" fillId="0" borderId="54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40" fillId="0" borderId="53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0" fillId="0" borderId="54" xfId="0" applyFont="1" applyBorder="1" applyAlignment="1">
      <alignment vertical="center"/>
    </xf>
    <xf numFmtId="0" fontId="1" fillId="0" borderId="54" xfId="0" applyFont="1" applyBorder="1" applyAlignment="1">
      <alignment horizontal="left" vertical="center"/>
    </xf>
    <xf numFmtId="0" fontId="40" fillId="0" borderId="54" xfId="0" applyFont="1" applyBorder="1" applyAlignment="1">
      <alignment horizontal="left" vertical="center"/>
    </xf>
    <xf numFmtId="0" fontId="40" fillId="0" borderId="41" xfId="0" applyFont="1" applyBorder="1" applyAlignment="1">
      <alignment horizontal="left" vertical="center"/>
    </xf>
    <xf numFmtId="0" fontId="40" fillId="0" borderId="54" xfId="0" applyFont="1" applyFill="1" applyBorder="1" applyAlignment="1">
      <alignment horizontal="left" vertical="center"/>
    </xf>
    <xf numFmtId="0" fontId="1" fillId="0" borderId="54" xfId="0" applyFont="1" applyFill="1" applyBorder="1" applyAlignment="1">
      <alignment horizontal="left" vertical="center"/>
    </xf>
    <xf numFmtId="0" fontId="40" fillId="0" borderId="54" xfId="0" applyFont="1" applyFill="1" applyBorder="1" applyAlignment="1">
      <alignment vertical="center"/>
    </xf>
    <xf numFmtId="0" fontId="40" fillId="0" borderId="41" xfId="0" applyFont="1" applyFill="1" applyBorder="1" applyAlignment="1">
      <alignment vertical="center"/>
    </xf>
    <xf numFmtId="0" fontId="3" fillId="0" borderId="0" xfId="37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0" fillId="0" borderId="0" xfId="0" applyFont="1" applyAlignment="1">
      <alignment vertical="center"/>
    </xf>
    <xf numFmtId="0" fontId="30" fillId="0" borderId="0" xfId="0" applyFont="1"/>
    <xf numFmtId="172" fontId="50" fillId="0" borderId="0" xfId="39" applyNumberFormat="1" applyFont="1"/>
    <xf numFmtId="168" fontId="1" fillId="0" borderId="0" xfId="0" applyNumberFormat="1" applyFont="1"/>
    <xf numFmtId="171" fontId="1" fillId="0" borderId="0" xfId="0" applyNumberFormat="1" applyFont="1"/>
    <xf numFmtId="0" fontId="1" fillId="0" borderId="11" xfId="0" applyFont="1" applyBorder="1" applyAlignment="1">
      <alignment horizontal="center" vertical="center"/>
    </xf>
    <xf numFmtId="171" fontId="1" fillId="0" borderId="0" xfId="0" applyNumberFormat="1" applyFont="1" applyBorder="1" applyAlignment="1">
      <alignment horizontal="center" vertical="center" wrapText="1"/>
    </xf>
    <xf numFmtId="9" fontId="1" fillId="0" borderId="0" xfId="0" applyNumberFormat="1" applyFont="1"/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3" fontId="1" fillId="26" borderId="11" xfId="0" applyNumberFormat="1" applyFont="1" applyFill="1" applyBorder="1"/>
    <xf numFmtId="168" fontId="1" fillId="0" borderId="11" xfId="0" applyNumberFormat="1" applyFont="1" applyBorder="1"/>
    <xf numFmtId="3" fontId="1" fillId="0" borderId="11" xfId="0" applyNumberFormat="1" applyFont="1" applyBorder="1"/>
    <xf numFmtId="168" fontId="56" fillId="0" borderId="11" xfId="0" applyNumberFormat="1" applyFont="1" applyBorder="1"/>
    <xf numFmtId="168" fontId="56" fillId="26" borderId="11" xfId="0" applyNumberFormat="1" applyFont="1" applyFill="1" applyBorder="1"/>
    <xf numFmtId="17" fontId="56" fillId="0" borderId="0" xfId="0" applyNumberFormat="1" applyFont="1" applyFill="1" applyBorder="1"/>
    <xf numFmtId="3" fontId="1" fillId="0" borderId="0" xfId="0" applyNumberFormat="1" applyFont="1" applyFill="1" applyBorder="1"/>
    <xf numFmtId="168" fontId="56" fillId="0" borderId="0" xfId="0" applyNumberFormat="1" applyFont="1" applyFill="1" applyBorder="1"/>
    <xf numFmtId="0" fontId="61" fillId="0" borderId="0" xfId="40" applyFont="1" applyFill="1"/>
    <xf numFmtId="0" fontId="62" fillId="0" borderId="0" xfId="38" applyFont="1"/>
    <xf numFmtId="0" fontId="52" fillId="0" borderId="0" xfId="0" applyFont="1" applyFill="1"/>
    <xf numFmtId="0" fontId="1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8" fillId="0" borderId="19" xfId="0" applyFont="1" applyBorder="1"/>
    <xf numFmtId="0" fontId="38" fillId="0" borderId="11" xfId="0" applyFont="1" applyBorder="1" applyAlignment="1">
      <alignment horizontal="left" indent="3"/>
    </xf>
    <xf numFmtId="0" fontId="38" fillId="0" borderId="11" xfId="0" applyFont="1" applyBorder="1" applyAlignment="1">
      <alignment horizontal="left" indent="1"/>
    </xf>
    <xf numFmtId="0" fontId="38" fillId="0" borderId="11" xfId="0" applyFont="1" applyBorder="1" applyAlignment="1">
      <alignment horizontal="left" indent="2"/>
    </xf>
    <xf numFmtId="0" fontId="1" fillId="0" borderId="0" xfId="0" applyFont="1" applyFill="1" applyAlignment="1">
      <alignment vertical="center"/>
    </xf>
    <xf numFmtId="3" fontId="30" fillId="0" borderId="68" xfId="0" applyNumberFormat="1" applyFont="1" applyFill="1" applyBorder="1" applyAlignment="1">
      <alignment vertical="center"/>
    </xf>
    <xf numFmtId="3" fontId="30" fillId="0" borderId="16" xfId="0" applyNumberFormat="1" applyFont="1" applyFill="1" applyBorder="1" applyAlignment="1">
      <alignment vertical="center"/>
    </xf>
    <xf numFmtId="0" fontId="1" fillId="27" borderId="0" xfId="0" applyFont="1" applyFill="1" applyAlignment="1">
      <alignment vertical="center"/>
    </xf>
    <xf numFmtId="166" fontId="1" fillId="27" borderId="0" xfId="0" applyNumberFormat="1" applyFont="1" applyFill="1" applyAlignment="1">
      <alignment vertical="center"/>
    </xf>
    <xf numFmtId="0" fontId="21" fillId="0" borderId="0" xfId="37" applyFont="1" applyAlignment="1">
      <alignment horizontal="right"/>
    </xf>
    <xf numFmtId="0" fontId="21" fillId="0" borderId="0" xfId="0" applyFont="1" applyFill="1" applyAlignment="1">
      <alignment horizontal="right"/>
    </xf>
    <xf numFmtId="0" fontId="34" fillId="0" borderId="11" xfId="0" applyFont="1" applyBorder="1"/>
    <xf numFmtId="0" fontId="34" fillId="28" borderId="11" xfId="0" applyFont="1" applyFill="1" applyBorder="1"/>
    <xf numFmtId="0" fontId="34" fillId="28" borderId="11" xfId="0" applyFont="1" applyFill="1" applyBorder="1" applyAlignment="1">
      <alignment horizontal="center"/>
    </xf>
    <xf numFmtId="0" fontId="34" fillId="28" borderId="11" xfId="0" applyFont="1" applyFill="1" applyBorder="1" applyAlignment="1">
      <alignment horizontal="center" vertical="top" wrapText="1"/>
    </xf>
    <xf numFmtId="171" fontId="34" fillId="0" borderId="11" xfId="0" applyNumberFormat="1" applyFont="1" applyBorder="1" applyAlignment="1">
      <alignment horizontal="right"/>
    </xf>
    <xf numFmtId="171" fontId="39" fillId="0" borderId="11" xfId="0" applyNumberFormat="1" applyFont="1" applyBorder="1" applyAlignment="1">
      <alignment horizontal="right"/>
    </xf>
    <xf numFmtId="171" fontId="38" fillId="0" borderId="11" xfId="0" applyNumberFormat="1" applyFont="1" applyBorder="1" applyAlignment="1">
      <alignment horizontal="right" vertical="top" wrapText="1"/>
    </xf>
    <xf numFmtId="171" fontId="38" fillId="0" borderId="11" xfId="0" applyNumberFormat="1" applyFont="1" applyBorder="1" applyAlignment="1">
      <alignment horizontal="right"/>
    </xf>
    <xf numFmtId="171" fontId="42" fillId="0" borderId="11" xfId="0" applyNumberFormat="1" applyFont="1" applyBorder="1" applyAlignment="1">
      <alignment horizontal="right"/>
    </xf>
    <xf numFmtId="171" fontId="42" fillId="0" borderId="11" xfId="0" applyNumberFormat="1" applyFont="1" applyBorder="1" applyAlignment="1">
      <alignment horizontal="right" vertical="top" wrapText="1"/>
    </xf>
    <xf numFmtId="171" fontId="40" fillId="0" borderId="11" xfId="0" applyNumberFormat="1" applyFont="1" applyBorder="1" applyAlignment="1">
      <alignment horizontal="right"/>
    </xf>
    <xf numFmtId="171" fontId="34" fillId="0" borderId="11" xfId="0" applyNumberFormat="1" applyFont="1" applyBorder="1" applyAlignment="1">
      <alignment horizontal="right" vertical="top" wrapText="1"/>
    </xf>
    <xf numFmtId="0" fontId="64" fillId="0" borderId="11" xfId="0" applyFont="1" applyBorder="1"/>
    <xf numFmtId="171" fontId="64" fillId="0" borderId="11" xfId="0" applyNumberFormat="1" applyFont="1" applyBorder="1" applyAlignment="1">
      <alignment horizontal="right"/>
    </xf>
    <xf numFmtId="3" fontId="1" fillId="29" borderId="11" xfId="0" applyNumberFormat="1" applyFont="1" applyFill="1" applyBorder="1"/>
    <xf numFmtId="168" fontId="31" fillId="29" borderId="11" xfId="0" applyNumberFormat="1" applyFont="1" applyFill="1" applyBorder="1"/>
    <xf numFmtId="168" fontId="1" fillId="0" borderId="11" xfId="0" applyNumberFormat="1" applyFont="1" applyFill="1" applyBorder="1"/>
    <xf numFmtId="168" fontId="1" fillId="0" borderId="11" xfId="0" applyNumberFormat="1" applyFont="1" applyFill="1" applyBorder="1" applyAlignment="1">
      <alignment horizontal="right"/>
    </xf>
    <xf numFmtId="168" fontId="1" fillId="0" borderId="0" xfId="0" applyNumberFormat="1" applyFont="1" applyFill="1"/>
    <xf numFmtId="1" fontId="1" fillId="0" borderId="0" xfId="0" applyNumberFormat="1" applyFont="1" applyFill="1"/>
    <xf numFmtId="171" fontId="1" fillId="0" borderId="0" xfId="0" applyNumberFormat="1" applyFont="1" applyFill="1"/>
    <xf numFmtId="173" fontId="1" fillId="0" borderId="0" xfId="0" applyNumberFormat="1" applyFont="1"/>
    <xf numFmtId="171" fontId="34" fillId="30" borderId="11" xfId="0" applyNumberFormat="1" applyFont="1" applyFill="1" applyBorder="1" applyAlignment="1">
      <alignment horizontal="right"/>
    </xf>
    <xf numFmtId="171" fontId="40" fillId="30" borderId="11" xfId="0" applyNumberFormat="1" applyFont="1" applyFill="1" applyBorder="1" applyAlignment="1">
      <alignment horizontal="right"/>
    </xf>
    <xf numFmtId="171" fontId="38" fillId="30" borderId="11" xfId="0" applyNumberFormat="1" applyFont="1" applyFill="1" applyBorder="1" applyAlignment="1">
      <alignment horizontal="right"/>
    </xf>
    <xf numFmtId="171" fontId="39" fillId="30" borderId="11" xfId="0" applyNumberFormat="1" applyFont="1" applyFill="1" applyBorder="1" applyAlignment="1">
      <alignment horizontal="right"/>
    </xf>
    <xf numFmtId="171" fontId="66" fillId="0" borderId="11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56" fillId="0" borderId="31" xfId="0" applyFont="1" applyFill="1" applyBorder="1" applyAlignment="1">
      <alignment horizontal="center" vertical="center" wrapText="1"/>
    </xf>
    <xf numFmtId="1" fontId="56" fillId="0" borderId="31" xfId="0" applyNumberFormat="1" applyFont="1" applyFill="1" applyBorder="1" applyAlignment="1">
      <alignment horizontal="center" vertical="center" wrapText="1"/>
    </xf>
    <xf numFmtId="49" fontId="56" fillId="0" borderId="31" xfId="0" applyNumberFormat="1" applyFont="1" applyFill="1" applyBorder="1" applyAlignment="1">
      <alignment horizontal="center" vertical="center" wrapText="1"/>
    </xf>
    <xf numFmtId="168" fontId="56" fillId="0" borderId="3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1" fontId="56" fillId="0" borderId="11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168" fontId="56" fillId="0" borderId="11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174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0" fontId="21" fillId="0" borderId="11" xfId="0" applyNumberFormat="1" applyFont="1" applyFill="1" applyBorder="1" applyAlignment="1">
      <alignment horizontal="center" vertical="center" wrapText="1"/>
    </xf>
    <xf numFmtId="168" fontId="21" fillId="0" borderId="11" xfId="0" applyNumberFormat="1" applyFont="1" applyFill="1" applyBorder="1" applyAlignment="1">
      <alignment horizontal="center" vertical="center" wrapText="1"/>
    </xf>
    <xf numFmtId="168" fontId="21" fillId="0" borderId="31" xfId="0" applyNumberFormat="1" applyFont="1" applyFill="1" applyBorder="1" applyAlignment="1">
      <alignment horizontal="center" vertical="center" wrapText="1"/>
    </xf>
    <xf numFmtId="168" fontId="21" fillId="0" borderId="12" xfId="0" applyNumberFormat="1" applyFont="1" applyFill="1" applyBorder="1" applyAlignment="1">
      <alignment horizontal="center" vertical="center" wrapText="1"/>
    </xf>
    <xf numFmtId="168" fontId="56" fillId="0" borderId="12" xfId="0" applyNumberFormat="1" applyFont="1" applyFill="1" applyBorder="1" applyAlignment="1">
      <alignment horizontal="center" vertical="center" wrapText="1"/>
    </xf>
    <xf numFmtId="174" fontId="56" fillId="0" borderId="11" xfId="0" applyNumberFormat="1" applyFont="1" applyFill="1" applyBorder="1" applyAlignment="1">
      <alignment horizontal="center" vertical="center" wrapText="1"/>
    </xf>
    <xf numFmtId="10" fontId="56" fillId="0" borderId="1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wrapText="1"/>
    </xf>
    <xf numFmtId="1" fontId="1" fillId="0" borderId="0" xfId="0" applyNumberFormat="1" applyFont="1" applyFill="1" applyBorder="1" applyAlignment="1">
      <alignment wrapText="1"/>
    </xf>
    <xf numFmtId="1" fontId="62" fillId="0" borderId="0" xfId="38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21" fillId="27" borderId="11" xfId="0" applyFont="1" applyFill="1" applyBorder="1" applyAlignment="1">
      <alignment horizontal="left" vertical="center" wrapText="1"/>
    </xf>
    <xf numFmtId="168" fontId="56" fillId="27" borderId="11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3" fontId="30" fillId="0" borderId="0" xfId="0" applyNumberFormat="1" applyFont="1"/>
    <xf numFmtId="0" fontId="30" fillId="0" borderId="11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3" fontId="30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/>
    <xf numFmtId="49" fontId="30" fillId="0" borderId="11" xfId="0" applyNumberFormat="1" applyFont="1" applyFill="1" applyBorder="1" applyAlignment="1">
      <alignment horizontal="center" vertical="center"/>
    </xf>
    <xf numFmtId="3" fontId="30" fillId="0" borderId="11" xfId="0" applyNumberFormat="1" applyFont="1" applyFill="1" applyBorder="1" applyAlignment="1">
      <alignment horizontal="left" wrapText="1" indent="1"/>
    </xf>
    <xf numFmtId="3" fontId="30" fillId="0" borderId="11" xfId="0" applyNumberFormat="1" applyFont="1" applyFill="1" applyBorder="1" applyAlignment="1">
      <alignment horizontal="left" indent="1"/>
    </xf>
    <xf numFmtId="0" fontId="30" fillId="0" borderId="77" xfId="0" applyFont="1" applyFill="1" applyBorder="1" applyAlignment="1">
      <alignment horizontal="left" wrapText="1" indent="1"/>
    </xf>
    <xf numFmtId="0" fontId="69" fillId="0" borderId="0" xfId="0" applyFont="1"/>
    <xf numFmtId="172" fontId="21" fillId="0" borderId="0" xfId="0" applyNumberFormat="1" applyFont="1"/>
    <xf numFmtId="3" fontId="31" fillId="0" borderId="11" xfId="0" applyNumberFormat="1" applyFont="1" applyFill="1" applyBorder="1" applyAlignment="1">
      <alignment horizontal="center" vertical="center"/>
    </xf>
    <xf numFmtId="0" fontId="56" fillId="0" borderId="0" xfId="0" applyFont="1"/>
    <xf numFmtId="168" fontId="30" fillId="0" borderId="0" xfId="0" applyNumberFormat="1" applyFont="1"/>
    <xf numFmtId="4" fontId="30" fillId="0" borderId="0" xfId="0" applyNumberFormat="1" applyFont="1"/>
    <xf numFmtId="10" fontId="30" fillId="0" borderId="0" xfId="0" applyNumberFormat="1" applyFont="1"/>
    <xf numFmtId="0" fontId="70" fillId="0" borderId="0" xfId="0" applyFont="1"/>
    <xf numFmtId="0" fontId="30" fillId="0" borderId="11" xfId="0" applyFont="1" applyFill="1" applyBorder="1" applyAlignment="1">
      <alignment horizontal="center"/>
    </xf>
    <xf numFmtId="3" fontId="30" fillId="0" borderId="0" xfId="0" applyNumberFormat="1" applyFont="1" applyFill="1"/>
    <xf numFmtId="168" fontId="30" fillId="0" borderId="0" xfId="0" applyNumberFormat="1" applyFont="1" applyFill="1"/>
    <xf numFmtId="4" fontId="30" fillId="0" borderId="0" xfId="0" applyNumberFormat="1" applyFont="1" applyFill="1"/>
    <xf numFmtId="10" fontId="30" fillId="0" borderId="0" xfId="0" applyNumberFormat="1" applyFont="1" applyFill="1"/>
    <xf numFmtId="3" fontId="21" fillId="0" borderId="11" xfId="0" applyNumberFormat="1" applyFont="1" applyFill="1" applyBorder="1" applyAlignment="1">
      <alignment horizontal="center" vertical="center"/>
    </xf>
    <xf numFmtId="0" fontId="1" fillId="0" borderId="0" xfId="50" applyFont="1" applyAlignment="1"/>
    <xf numFmtId="3" fontId="30" fillId="31" borderId="11" xfId="0" applyNumberFormat="1" applyFont="1" applyFill="1" applyBorder="1" applyAlignment="1">
      <alignment horizontal="center" vertical="center"/>
    </xf>
    <xf numFmtId="49" fontId="78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/>
    <xf numFmtId="1" fontId="78" fillId="0" borderId="0" xfId="0" applyNumberFormat="1" applyFont="1" applyAlignment="1">
      <alignment horizontal="center"/>
    </xf>
    <xf numFmtId="1" fontId="78" fillId="0" borderId="0" xfId="0" applyNumberFormat="1" applyFont="1" applyAlignment="1">
      <alignment horizontal="center" vertical="center"/>
    </xf>
    <xf numFmtId="1" fontId="78" fillId="0" borderId="0" xfId="0" applyNumberFormat="1" applyFont="1" applyFill="1" applyAlignment="1">
      <alignment horizontal="center" vertical="center"/>
    </xf>
    <xf numFmtId="169" fontId="1" fillId="0" borderId="11" xfId="0" applyNumberFormat="1" applyFont="1" applyFill="1" applyBorder="1" applyAlignment="1">
      <alignment horizontal="center"/>
    </xf>
    <xf numFmtId="3" fontId="21" fillId="29" borderId="11" xfId="0" applyNumberFormat="1" applyFont="1" applyFill="1" applyBorder="1" applyAlignment="1">
      <alignment wrapText="1"/>
    </xf>
    <xf numFmtId="3" fontId="56" fillId="29" borderId="11" xfId="0" applyNumberFormat="1" applyFont="1" applyFill="1" applyBorder="1" applyAlignment="1">
      <alignment vertical="center" wrapText="1"/>
    </xf>
    <xf numFmtId="0" fontId="21" fillId="32" borderId="0" xfId="0" applyFont="1" applyFill="1"/>
    <xf numFmtId="10" fontId="30" fillId="32" borderId="0" xfId="0" applyNumberFormat="1" applyFont="1" applyFill="1"/>
    <xf numFmtId="4" fontId="30" fillId="32" borderId="0" xfId="0" applyNumberFormat="1" applyFont="1" applyFill="1"/>
    <xf numFmtId="0" fontId="21" fillId="29" borderId="0" xfId="0" applyFont="1" applyFill="1"/>
    <xf numFmtId="10" fontId="30" fillId="29" borderId="0" xfId="0" applyNumberFormat="1" applyFont="1" applyFill="1"/>
    <xf numFmtId="4" fontId="30" fillId="29" borderId="0" xfId="0" applyNumberFormat="1" applyFont="1" applyFill="1"/>
    <xf numFmtId="4" fontId="30" fillId="0" borderId="0" xfId="0" applyNumberFormat="1" applyFont="1" applyFill="1" applyAlignment="1">
      <alignment horizontal="left"/>
    </xf>
    <xf numFmtId="171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0" fontId="1" fillId="0" borderId="0" xfId="0" applyFont="1" applyFill="1" applyAlignment="1"/>
    <xf numFmtId="0" fontId="21" fillId="0" borderId="0" xfId="0" applyFont="1" applyFill="1" applyBorder="1"/>
    <xf numFmtId="0" fontId="1" fillId="0" borderId="0" xfId="39" applyFont="1" applyBorder="1" applyAlignment="1"/>
    <xf numFmtId="0" fontId="24" fillId="0" borderId="0" xfId="40" applyFont="1" applyFill="1"/>
    <xf numFmtId="0" fontId="1" fillId="0" borderId="0" xfId="38" applyFont="1"/>
    <xf numFmtId="0" fontId="31" fillId="0" borderId="0" xfId="0" applyFont="1" applyBorder="1" applyAlignment="1">
      <alignment vertical="center"/>
    </xf>
    <xf numFmtId="1" fontId="78" fillId="0" borderId="0" xfId="0" applyNumberFormat="1" applyFont="1" applyFill="1" applyAlignment="1">
      <alignment horizontal="center"/>
    </xf>
    <xf numFmtId="0" fontId="60" fillId="0" borderId="0" xfId="0" applyFont="1" applyBorder="1" applyAlignment="1">
      <alignment horizontal="center"/>
    </xf>
    <xf numFmtId="0" fontId="79" fillId="0" borderId="0" xfId="0" applyFont="1" applyBorder="1" applyAlignment="1">
      <alignment vertical="center"/>
    </xf>
    <xf numFmtId="0" fontId="59" fillId="0" borderId="0" xfId="0" applyFont="1" applyAlignment="1">
      <alignment horizontal="left"/>
    </xf>
    <xf numFmtId="0" fontId="28" fillId="0" borderId="0" xfId="0" applyFont="1" applyBorder="1" applyAlignment="1">
      <alignment horizontal="right" vertical="center"/>
    </xf>
    <xf numFmtId="0" fontId="30" fillId="31" borderId="77" xfId="0" applyFont="1" applyFill="1" applyBorder="1" applyAlignment="1">
      <alignment horizontal="left" wrapText="1" indent="1"/>
    </xf>
    <xf numFmtId="49" fontId="31" fillId="0" borderId="11" xfId="0" applyNumberFormat="1" applyFont="1" applyFill="1" applyBorder="1" applyAlignment="1">
      <alignment horizontal="center" vertical="center"/>
    </xf>
    <xf numFmtId="0" fontId="30" fillId="0" borderId="77" xfId="0" applyFont="1" applyFill="1" applyBorder="1" applyAlignment="1">
      <alignment horizontal="left" wrapText="1" indent="3"/>
    </xf>
    <xf numFmtId="0" fontId="30" fillId="31" borderId="77" xfId="0" applyFont="1" applyFill="1" applyBorder="1" applyAlignment="1">
      <alignment horizontal="left" wrapText="1" indent="3"/>
    </xf>
    <xf numFmtId="49" fontId="78" fillId="0" borderId="0" xfId="0" applyNumberFormat="1" applyFont="1" applyFill="1" applyAlignment="1">
      <alignment horizontal="center"/>
    </xf>
    <xf numFmtId="172" fontId="30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80" fillId="0" borderId="0" xfId="0" applyFont="1" applyFill="1"/>
    <xf numFmtId="0" fontId="73" fillId="0" borderId="0" xfId="0" applyFont="1" applyFill="1"/>
    <xf numFmtId="0" fontId="56" fillId="0" borderId="0" xfId="0" applyFont="1" applyFill="1"/>
    <xf numFmtId="0" fontId="81" fillId="0" borderId="0" xfId="0" applyFont="1" applyFill="1"/>
    <xf numFmtId="0" fontId="82" fillId="0" borderId="0" xfId="0" applyFont="1" applyFill="1"/>
    <xf numFmtId="0" fontId="83" fillId="0" borderId="0" xfId="0" applyFont="1" applyFill="1"/>
    <xf numFmtId="0" fontId="80" fillId="0" borderId="0" xfId="0" applyFont="1" applyFill="1" applyBorder="1"/>
    <xf numFmtId="0" fontId="73" fillId="0" borderId="0" xfId="0" applyFont="1" applyFill="1" applyBorder="1" applyAlignment="1"/>
    <xf numFmtId="0" fontId="73" fillId="0" borderId="0" xfId="0" applyFont="1" applyFill="1" applyBorder="1"/>
    <xf numFmtId="0" fontId="80" fillId="0" borderId="0" xfId="0" applyFont="1" applyFill="1" applyBorder="1" applyAlignment="1">
      <alignment horizontal="center"/>
    </xf>
    <xf numFmtId="0" fontId="83" fillId="0" borderId="11" xfId="0" applyFont="1" applyFill="1" applyBorder="1" applyAlignment="1">
      <alignment horizontal="left" wrapText="1"/>
    </xf>
    <xf numFmtId="0" fontId="83" fillId="0" borderId="11" xfId="0" applyFont="1" applyFill="1" applyBorder="1" applyAlignment="1">
      <alignment horizontal="center"/>
    </xf>
    <xf numFmtId="49" fontId="83" fillId="0" borderId="11" xfId="0" applyNumberFormat="1" applyFont="1" applyFill="1" applyBorder="1" applyAlignment="1">
      <alignment horizontal="center"/>
    </xf>
    <xf numFmtId="0" fontId="83" fillId="0" borderId="11" xfId="0" applyFont="1" applyFill="1" applyBorder="1" applyAlignment="1">
      <alignment horizontal="center" vertical="top"/>
    </xf>
    <xf numFmtId="4" fontId="83" fillId="0" borderId="11" xfId="0" applyNumberFormat="1" applyFont="1" applyFill="1" applyBorder="1" applyAlignment="1">
      <alignment horizontal="center"/>
    </xf>
    <xf numFmtId="0" fontId="30" fillId="0" borderId="31" xfId="0" applyFont="1" applyBorder="1" applyAlignment="1">
      <alignment horizontal="center" vertical="center" wrapText="1"/>
    </xf>
    <xf numFmtId="3" fontId="31" fillId="27" borderId="11" xfId="0" applyNumberFormat="1" applyFont="1" applyFill="1" applyBorder="1" applyAlignment="1">
      <alignment horizontal="center" vertical="center"/>
    </xf>
    <xf numFmtId="3" fontId="30" fillId="27" borderId="11" xfId="0" applyNumberFormat="1" applyFont="1" applyFill="1" applyBorder="1" applyAlignment="1">
      <alignment horizontal="center" vertical="center"/>
    </xf>
    <xf numFmtId="0" fontId="68" fillId="0" borderId="77" xfId="0" applyFont="1" applyFill="1" applyBorder="1" applyAlignment="1">
      <alignment horizontal="center" wrapText="1"/>
    </xf>
    <xf numFmtId="0" fontId="68" fillId="0" borderId="11" xfId="0" applyFont="1" applyFill="1" applyBorder="1" applyAlignment="1">
      <alignment horizontal="left" wrapText="1" indent="2"/>
    </xf>
    <xf numFmtId="49" fontId="30" fillId="31" borderId="11" xfId="0" applyNumberFormat="1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left" wrapText="1" indent="2"/>
    </xf>
    <xf numFmtId="0" fontId="68" fillId="0" borderId="77" xfId="0" applyFont="1" applyFill="1" applyBorder="1" applyAlignment="1">
      <alignment horizontal="left" wrapText="1" indent="2"/>
    </xf>
    <xf numFmtId="0" fontId="71" fillId="0" borderId="77" xfId="0" applyNumberFormat="1" applyFont="1" applyFill="1" applyBorder="1" applyAlignment="1">
      <alignment horizontal="left" wrapText="1" indent="4"/>
    </xf>
    <xf numFmtId="0" fontId="68" fillId="0" borderId="77" xfId="0" applyFont="1" applyFill="1" applyBorder="1" applyAlignment="1">
      <alignment horizontal="left" wrapText="1" indent="3"/>
    </xf>
    <xf numFmtId="0" fontId="31" fillId="0" borderId="77" xfId="0" applyFont="1" applyFill="1" applyBorder="1" applyAlignment="1">
      <alignment horizontal="left" vertical="center" wrapText="1"/>
    </xf>
    <xf numFmtId="0" fontId="31" fillId="0" borderId="77" xfId="0" applyFont="1" applyFill="1" applyBorder="1" applyAlignment="1">
      <alignment horizontal="left" wrapText="1"/>
    </xf>
    <xf numFmtId="0" fontId="40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9" fillId="0" borderId="0" xfId="0" applyFont="1"/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horizontal="right" vertical="center"/>
    </xf>
    <xf numFmtId="0" fontId="85" fillId="0" borderId="0" xfId="0" applyFont="1" applyAlignment="1">
      <alignment horizontal="right"/>
    </xf>
    <xf numFmtId="0" fontId="86" fillId="0" borderId="0" xfId="0" applyFont="1"/>
    <xf numFmtId="0" fontId="39" fillId="0" borderId="0" xfId="0" applyFont="1" applyAlignment="1">
      <alignment horizontal="center" vertical="center"/>
    </xf>
    <xf numFmtId="0" fontId="85" fillId="0" borderId="0" xfId="0" applyFont="1" applyAlignment="1"/>
    <xf numFmtId="0" fontId="85" fillId="0" borderId="0" xfId="0" applyFont="1"/>
    <xf numFmtId="0" fontId="86" fillId="0" borderId="0" xfId="0" applyFont="1" applyAlignment="1">
      <alignment horizontal="right" vertical="center"/>
    </xf>
    <xf numFmtId="0" fontId="39" fillId="0" borderId="0" xfId="0" applyFont="1" applyBorder="1"/>
    <xf numFmtId="0" fontId="38" fillId="0" borderId="0" xfId="0" applyFont="1"/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left" vertical="center" wrapText="1"/>
    </xf>
    <xf numFmtId="0" fontId="39" fillId="0" borderId="54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171" fontId="39" fillId="0" borderId="11" xfId="0" applyNumberFormat="1" applyFont="1" applyFill="1" applyBorder="1" applyAlignment="1">
      <alignment horizontal="center" vertical="center" wrapText="1"/>
    </xf>
    <xf numFmtId="0" fontId="39" fillId="27" borderId="11" xfId="0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vertical="center" wrapText="1"/>
    </xf>
    <xf numFmtId="171" fontId="39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9" fillId="27" borderId="0" xfId="0" applyFont="1" applyFill="1"/>
    <xf numFmtId="16" fontId="1" fillId="0" borderId="11" xfId="0" applyNumberFormat="1" applyFont="1" applyFill="1" applyBorder="1" applyAlignment="1">
      <alignment horizontal="center" vertical="center" wrapText="1"/>
    </xf>
    <xf numFmtId="0" fontId="39" fillId="27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38" fillId="0" borderId="0" xfId="0" applyFont="1" applyAlignment="1"/>
    <xf numFmtId="0" fontId="1" fillId="0" borderId="0" xfId="0" applyFont="1" applyFill="1" applyBorder="1" applyAlignment="1"/>
    <xf numFmtId="0" fontId="38" fillId="0" borderId="0" xfId="0" applyFont="1" applyAlignment="1">
      <alignment horizontal="center"/>
    </xf>
    <xf numFmtId="4" fontId="83" fillId="0" borderId="11" xfId="0" applyNumberFormat="1" applyFont="1" applyFill="1" applyBorder="1"/>
    <xf numFmtId="4" fontId="82" fillId="0" borderId="11" xfId="0" applyNumberFormat="1" applyFont="1" applyFill="1" applyBorder="1"/>
    <xf numFmtId="0" fontId="83" fillId="0" borderId="11" xfId="0" applyFont="1" applyFill="1" applyBorder="1" applyAlignment="1">
      <alignment horizontal="left" vertical="center" wrapText="1"/>
    </xf>
    <xf numFmtId="49" fontId="83" fillId="0" borderId="11" xfId="0" applyNumberFormat="1" applyFont="1" applyFill="1" applyBorder="1" applyAlignment="1">
      <alignment horizontal="left" vertical="center"/>
    </xf>
    <xf numFmtId="0" fontId="83" fillId="0" borderId="11" xfId="0" applyFont="1" applyFill="1" applyBorder="1" applyAlignment="1">
      <alignment horizontal="center" vertical="center"/>
    </xf>
    <xf numFmtId="49" fontId="83" fillId="0" borderId="11" xfId="0" applyNumberFormat="1" applyFont="1" applyFill="1" applyBorder="1" applyAlignment="1">
      <alignment horizontal="center" vertical="center"/>
    </xf>
    <xf numFmtId="4" fontId="83" fillId="0" borderId="11" xfId="0" applyNumberFormat="1" applyFont="1" applyFill="1" applyBorder="1" applyAlignment="1">
      <alignment horizontal="center" vertical="center"/>
    </xf>
    <xf numFmtId="4" fontId="83" fillId="0" borderId="11" xfId="0" applyNumberFormat="1" applyFont="1" applyFill="1" applyBorder="1" applyAlignment="1">
      <alignment vertical="center"/>
    </xf>
    <xf numFmtId="0" fontId="83" fillId="0" borderId="0" xfId="0" applyFont="1" applyFill="1" applyAlignment="1">
      <alignment vertical="center"/>
    </xf>
    <xf numFmtId="0" fontId="83" fillId="0" borderId="11" xfId="0" applyFont="1" applyFill="1" applyBorder="1" applyAlignment="1">
      <alignment horizontal="center" vertical="center" wrapText="1"/>
    </xf>
    <xf numFmtId="0" fontId="1" fillId="0" borderId="40" xfId="36" applyNumberFormat="1" applyFont="1" applyBorder="1" applyAlignment="1">
      <alignment horizontal="left" vertical="top" wrapText="1"/>
    </xf>
    <xf numFmtId="0" fontId="1" fillId="0" borderId="52" xfId="36" applyFont="1" applyBorder="1"/>
    <xf numFmtId="0" fontId="1" fillId="33" borderId="11" xfId="36" applyNumberFormat="1" applyFont="1" applyFill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/>
    </xf>
    <xf numFmtId="0" fontId="90" fillId="34" borderId="11" xfId="36" applyNumberFormat="1" applyFont="1" applyFill="1" applyBorder="1" applyAlignment="1">
      <alignment horizontal="left" vertical="top" wrapText="1"/>
    </xf>
    <xf numFmtId="3" fontId="2" fillId="34" borderId="11" xfId="36" applyNumberFormat="1" applyFont="1" applyFill="1" applyBorder="1" applyAlignment="1">
      <alignment horizontal="right" vertical="center"/>
    </xf>
    <xf numFmtId="175" fontId="2" fillId="34" borderId="11" xfId="0" applyNumberFormat="1" applyFont="1" applyFill="1" applyBorder="1" applyAlignment="1">
      <alignment horizontal="right" vertical="center"/>
    </xf>
    <xf numFmtId="3" fontId="1" fillId="0" borderId="11" xfId="36" applyNumberFormat="1" applyFont="1" applyBorder="1" applyAlignment="1">
      <alignment horizontal="right" vertical="center"/>
    </xf>
    <xf numFmtId="3" fontId="1" fillId="0" borderId="19" xfId="36" applyNumberFormat="1" applyFont="1" applyBorder="1" applyAlignment="1">
      <alignment horizontal="center" vertical="center"/>
    </xf>
    <xf numFmtId="175" fontId="89" fillId="0" borderId="11" xfId="0" applyNumberFormat="1" applyFont="1" applyFill="1" applyBorder="1" applyAlignment="1">
      <alignment horizontal="right" vertical="center"/>
    </xf>
    <xf numFmtId="0" fontId="1" fillId="33" borderId="19" xfId="36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/>
    <xf numFmtId="0" fontId="52" fillId="0" borderId="0" xfId="0" applyFont="1" applyFill="1" applyAlignment="1">
      <alignment horizontal="right"/>
    </xf>
    <xf numFmtId="173" fontId="1" fillId="0" borderId="0" xfId="0" applyNumberFormat="1" applyFont="1" applyFill="1"/>
    <xf numFmtId="0" fontId="86" fillId="0" borderId="0" xfId="0" applyFont="1" applyFill="1"/>
    <xf numFmtId="0" fontId="76" fillId="0" borderId="0" xfId="0" applyFont="1" applyFill="1"/>
    <xf numFmtId="0" fontId="1" fillId="0" borderId="11" xfId="0" applyFont="1" applyFill="1" applyBorder="1" applyAlignment="1">
      <alignment wrapText="1"/>
    </xf>
    <xf numFmtId="171" fontId="1" fillId="0" borderId="11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1" fillId="0" borderId="19" xfId="36" applyNumberFormat="1" applyFont="1" applyBorder="1" applyAlignment="1">
      <alignment horizontal="left" vertical="top" wrapText="1"/>
    </xf>
    <xf numFmtId="0" fontId="21" fillId="0" borderId="11" xfId="0" applyFont="1" applyFill="1" applyBorder="1"/>
    <xf numFmtId="4" fontId="30" fillId="0" borderId="11" xfId="0" applyNumberFormat="1" applyFont="1" applyFill="1" applyBorder="1"/>
    <xf numFmtId="0" fontId="21" fillId="0" borderId="11" xfId="0" applyFont="1" applyBorder="1"/>
    <xf numFmtId="4" fontId="21" fillId="0" borderId="11" xfId="0" applyNumberFormat="1" applyFont="1" applyFill="1" applyBorder="1"/>
    <xf numFmtId="4" fontId="1" fillId="0" borderId="11" xfId="0" applyNumberFormat="1" applyFont="1" applyBorder="1"/>
    <xf numFmtId="4" fontId="1" fillId="0" borderId="11" xfId="0" applyNumberFormat="1" applyFont="1" applyFill="1" applyBorder="1" applyAlignment="1">
      <alignment horizontal="right"/>
    </xf>
    <xf numFmtId="0" fontId="81" fillId="0" borderId="0" xfId="0" applyFont="1" applyFill="1" applyBorder="1" applyAlignment="1">
      <alignment horizontal="center" vertical="top"/>
    </xf>
    <xf numFmtId="0" fontId="82" fillId="0" borderId="31" xfId="0" applyFont="1" applyFill="1" applyBorder="1" applyAlignment="1">
      <alignment horizontal="center"/>
    </xf>
    <xf numFmtId="0" fontId="83" fillId="0" borderId="31" xfId="0" applyFont="1" applyFill="1" applyBorder="1" applyAlignment="1">
      <alignment horizontal="center" vertical="top"/>
    </xf>
    <xf numFmtId="0" fontId="82" fillId="0" borderId="79" xfId="0" applyFont="1" applyFill="1" applyBorder="1" applyAlignment="1">
      <alignment horizontal="center"/>
    </xf>
    <xf numFmtId="0" fontId="82" fillId="0" borderId="40" xfId="0" applyFont="1" applyFill="1" applyBorder="1"/>
    <xf numFmtId="0" fontId="83" fillId="0" borderId="11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vertical="top"/>
    </xf>
    <xf numFmtId="4" fontId="1" fillId="0" borderId="0" xfId="0" applyNumberFormat="1" applyFont="1"/>
    <xf numFmtId="0" fontId="21" fillId="0" borderId="11" xfId="0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0" fillId="0" borderId="0" xfId="0" applyFont="1" applyBorder="1" applyAlignment="1"/>
    <xf numFmtId="0" fontId="56" fillId="0" borderId="84" xfId="0" applyFont="1" applyBorder="1" applyAlignment="1"/>
    <xf numFmtId="0" fontId="3" fillId="0" borderId="0" xfId="0" applyFont="1" applyFill="1"/>
    <xf numFmtId="4" fontId="3" fillId="0" borderId="0" xfId="0" applyNumberFormat="1" applyFont="1" applyFill="1"/>
    <xf numFmtId="4" fontId="81" fillId="0" borderId="0" xfId="0" applyNumberFormat="1" applyFont="1" applyFill="1"/>
    <xf numFmtId="49" fontId="82" fillId="0" borderId="11" xfId="0" applyNumberFormat="1" applyFont="1" applyFill="1" applyBorder="1" applyAlignment="1">
      <alignment horizontal="center" vertical="top"/>
    </xf>
    <xf numFmtId="0" fontId="82" fillId="0" borderId="11" xfId="0" applyFont="1" applyFill="1" applyBorder="1" applyAlignment="1">
      <alignment horizontal="center"/>
    </xf>
    <xf numFmtId="0" fontId="83" fillId="0" borderId="11" xfId="0" applyFont="1" applyFill="1" applyBorder="1" applyAlignment="1">
      <alignment horizontal="left"/>
    </xf>
    <xf numFmtId="0" fontId="31" fillId="0" borderId="77" xfId="0" applyFont="1" applyFill="1" applyBorder="1" applyAlignment="1">
      <alignment horizontal="left" wrapText="1" indent="1"/>
    </xf>
    <xf numFmtId="0" fontId="56" fillId="0" borderId="0" xfId="0" applyFont="1" applyFill="1" applyAlignment="1">
      <alignment horizontal="right"/>
    </xf>
    <xf numFmtId="0" fontId="82" fillId="0" borderId="11" xfId="0" applyFont="1" applyFill="1" applyBorder="1" applyAlignment="1">
      <alignment horizontal="center" vertical="top"/>
    </xf>
    <xf numFmtId="4" fontId="82" fillId="0" borderId="11" xfId="0" applyNumberFormat="1" applyFont="1" applyFill="1" applyBorder="1" applyAlignment="1">
      <alignment horizontal="center"/>
    </xf>
    <xf numFmtId="0" fontId="83" fillId="0" borderId="19" xfId="0" applyFont="1" applyFill="1" applyBorder="1" applyAlignment="1">
      <alignment horizontal="left" vertical="center" wrapText="1"/>
    </xf>
    <xf numFmtId="0" fontId="81" fillId="0" borderId="0" xfId="0" applyFont="1" applyFill="1" applyAlignment="1">
      <alignment horizontal="center" vertical="top"/>
    </xf>
    <xf numFmtId="0" fontId="80" fillId="0" borderId="0" xfId="0" applyFont="1"/>
    <xf numFmtId="0" fontId="73" fillId="0" borderId="0" xfId="0" applyFont="1"/>
    <xf numFmtId="49" fontId="80" fillId="0" borderId="0" xfId="0" applyNumberFormat="1" applyFont="1" applyBorder="1" applyAlignment="1">
      <alignment horizontal="center"/>
    </xf>
    <xf numFmtId="0" fontId="92" fillId="0" borderId="0" xfId="0" applyFont="1"/>
    <xf numFmtId="0" fontId="92" fillId="0" borderId="11" xfId="0" applyFont="1" applyBorder="1" applyAlignment="1">
      <alignment horizontal="center" vertical="center"/>
    </xf>
    <xf numFmtId="0" fontId="81" fillId="0" borderId="0" xfId="0" applyFont="1"/>
    <xf numFmtId="0" fontId="81" fillId="0" borderId="11" xfId="0" applyFont="1" applyBorder="1" applyAlignment="1">
      <alignment horizontal="center" vertical="top"/>
    </xf>
    <xf numFmtId="49" fontId="81" fillId="0" borderId="11" xfId="0" applyNumberFormat="1" applyFont="1" applyBorder="1" applyAlignment="1">
      <alignment horizontal="center"/>
    </xf>
    <xf numFmtId="0" fontId="81" fillId="0" borderId="11" xfId="0" applyFont="1" applyBorder="1" applyAlignment="1">
      <alignment horizontal="left" wrapText="1"/>
    </xf>
    <xf numFmtId="0" fontId="81" fillId="0" borderId="11" xfId="0" applyFont="1" applyBorder="1" applyAlignment="1">
      <alignment horizontal="center"/>
    </xf>
    <xf numFmtId="0" fontId="80" fillId="0" borderId="0" xfId="0" applyFont="1" applyAlignment="1">
      <alignment horizontal="left"/>
    </xf>
    <xf numFmtId="0" fontId="73" fillId="0" borderId="0" xfId="0" applyFont="1" applyBorder="1"/>
    <xf numFmtId="0" fontId="81" fillId="0" borderId="0" xfId="0" applyFont="1" applyBorder="1" applyAlignment="1">
      <alignment horizontal="center" vertical="top"/>
    </xf>
    <xf numFmtId="0" fontId="91" fillId="0" borderId="0" xfId="0" applyFont="1" applyFill="1"/>
    <xf numFmtId="49" fontId="91" fillId="0" borderId="1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171" fontId="3" fillId="0" borderId="19" xfId="0" applyNumberFormat="1" applyFont="1" applyFill="1" applyBorder="1" applyAlignment="1">
      <alignment horizontal="center" vertical="center"/>
    </xf>
    <xf numFmtId="171" fontId="3" fillId="0" borderId="11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167" fontId="3" fillId="0" borderId="19" xfId="0" applyNumberFormat="1" applyFont="1" applyFill="1" applyBorder="1" applyAlignment="1">
      <alignment horizontal="center" vertical="center"/>
    </xf>
    <xf numFmtId="167" fontId="3" fillId="0" borderId="11" xfId="0" applyNumberFormat="1" applyFont="1" applyFill="1" applyBorder="1" applyAlignment="1">
      <alignment horizontal="center" vertical="center"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vertical="top"/>
    </xf>
    <xf numFmtId="0" fontId="21" fillId="0" borderId="11" xfId="0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3" fontId="21" fillId="0" borderId="11" xfId="0" applyNumberFormat="1" applyFont="1" applyBorder="1"/>
    <xf numFmtId="0" fontId="69" fillId="0" borderId="11" xfId="0" applyFont="1" applyBorder="1"/>
    <xf numFmtId="172" fontId="21" fillId="0" borderId="11" xfId="0" applyNumberFormat="1" applyFont="1" applyBorder="1"/>
    <xf numFmtId="0" fontId="21" fillId="0" borderId="11" xfId="0" applyFont="1" applyBorder="1" applyAlignment="1">
      <alignment vertical="center"/>
    </xf>
    <xf numFmtId="0" fontId="56" fillId="0" borderId="11" xfId="0" applyFont="1" applyBorder="1"/>
    <xf numFmtId="49" fontId="30" fillId="36" borderId="11" xfId="0" applyNumberFormat="1" applyFont="1" applyFill="1" applyBorder="1" applyAlignment="1">
      <alignment horizontal="center" vertical="center"/>
    </xf>
    <xf numFmtId="0" fontId="30" fillId="36" borderId="77" xfId="0" applyFont="1" applyFill="1" applyBorder="1" applyAlignment="1">
      <alignment horizontal="left" wrapText="1" indent="1"/>
    </xf>
    <xf numFmtId="3" fontId="30" fillId="36" borderId="11" xfId="0" applyNumberFormat="1" applyFont="1" applyFill="1" applyBorder="1" applyAlignment="1">
      <alignment horizontal="center" vertical="center"/>
    </xf>
    <xf numFmtId="3" fontId="21" fillId="36" borderId="11" xfId="0" applyNumberFormat="1" applyFont="1" applyFill="1" applyBorder="1"/>
    <xf numFmtId="0" fontId="56" fillId="36" borderId="11" xfId="0" applyFont="1" applyFill="1" applyBorder="1"/>
    <xf numFmtId="167" fontId="83" fillId="0" borderId="11" xfId="0" applyNumberFormat="1" applyFont="1" applyFill="1" applyBorder="1" applyAlignment="1">
      <alignment horizontal="center" vertical="center"/>
    </xf>
    <xf numFmtId="0" fontId="1" fillId="0" borderId="11" xfId="36" applyNumberFormat="1" applyFont="1" applyFill="1" applyBorder="1" applyAlignment="1">
      <alignment horizontal="left" vertical="top" wrapText="1" indent="2"/>
    </xf>
    <xf numFmtId="3" fontId="1" fillId="0" borderId="11" xfId="36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left" vertical="center" wrapText="1"/>
    </xf>
    <xf numFmtId="0" fontId="1" fillId="37" borderId="11" xfId="36" applyNumberFormat="1" applyFont="1" applyFill="1" applyBorder="1" applyAlignment="1">
      <alignment horizontal="left" vertical="top" wrapText="1" indent="2"/>
    </xf>
    <xf numFmtId="3" fontId="1" fillId="37" borderId="11" xfId="36" applyNumberFormat="1" applyFont="1" applyFill="1" applyBorder="1" applyAlignment="1">
      <alignment horizontal="right" vertical="center"/>
    </xf>
    <xf numFmtId="175" fontId="89" fillId="37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/>
    <xf numFmtId="0" fontId="92" fillId="0" borderId="0" xfId="0" applyNumberFormat="1" applyFont="1" applyFill="1"/>
    <xf numFmtId="0" fontId="81" fillId="0" borderId="0" xfId="0" applyNumberFormat="1" applyFont="1" applyFill="1"/>
    <xf numFmtId="0" fontId="92" fillId="0" borderId="48" xfId="0" applyNumberFormat="1" applyFont="1" applyFill="1" applyBorder="1" applyAlignment="1">
      <alignment horizontal="center" vertical="center"/>
    </xf>
    <xf numFmtId="0" fontId="92" fillId="0" borderId="88" xfId="0" applyNumberFormat="1" applyFont="1" applyFill="1" applyBorder="1" applyAlignment="1">
      <alignment horizontal="center" vertical="center"/>
    </xf>
    <xf numFmtId="0" fontId="92" fillId="0" borderId="79" xfId="0" applyNumberFormat="1" applyFont="1" applyFill="1" applyBorder="1" applyAlignment="1">
      <alignment horizontal="center" vertical="center"/>
    </xf>
    <xf numFmtId="0" fontId="92" fillId="0" borderId="40" xfId="0" applyNumberFormat="1" applyFont="1" applyFill="1" applyBorder="1" applyAlignment="1">
      <alignment horizontal="center" vertical="center"/>
    </xf>
    <xf numFmtId="0" fontId="92" fillId="0" borderId="60" xfId="0" applyNumberFormat="1" applyFont="1" applyFill="1" applyBorder="1" applyAlignment="1">
      <alignment horizontal="center" vertical="center"/>
    </xf>
    <xf numFmtId="0" fontId="92" fillId="0" borderId="22" xfId="0" applyNumberFormat="1" applyFont="1" applyFill="1" applyBorder="1" applyAlignment="1">
      <alignment horizontal="center" vertical="center"/>
    </xf>
    <xf numFmtId="0" fontId="92" fillId="0" borderId="43" xfId="0" applyFont="1" applyFill="1" applyBorder="1" applyAlignment="1">
      <alignment horizontal="center" vertical="top"/>
    </xf>
    <xf numFmtId="0" fontId="92" fillId="0" borderId="89" xfId="0" applyFont="1" applyFill="1" applyBorder="1" applyAlignment="1">
      <alignment horizontal="center" vertical="top"/>
    </xf>
    <xf numFmtId="0" fontId="92" fillId="0" borderId="60" xfId="0" applyFont="1" applyFill="1" applyBorder="1" applyAlignment="1">
      <alignment horizontal="center" vertical="top"/>
    </xf>
    <xf numFmtId="0" fontId="92" fillId="0" borderId="10" xfId="0" applyFont="1" applyFill="1" applyBorder="1" applyAlignment="1">
      <alignment horizontal="center" vertical="top"/>
    </xf>
    <xf numFmtId="0" fontId="92" fillId="0" borderId="44" xfId="0" applyFont="1" applyFill="1" applyBorder="1" applyAlignment="1">
      <alignment horizontal="center" vertical="top"/>
    </xf>
    <xf numFmtId="0" fontId="92" fillId="0" borderId="0" xfId="0" applyFont="1" applyFill="1"/>
    <xf numFmtId="0" fontId="81" fillId="0" borderId="0" xfId="0" applyFont="1" applyFill="1" applyBorder="1" applyAlignment="1">
      <alignment horizontal="center"/>
    </xf>
    <xf numFmtId="0" fontId="73" fillId="0" borderId="0" xfId="0" applyFont="1" applyFill="1" applyAlignment="1">
      <alignment horizontal="left"/>
    </xf>
    <xf numFmtId="0" fontId="80" fillId="0" borderId="0" xfId="0" applyFont="1" applyFill="1" applyBorder="1" applyAlignment="1"/>
    <xf numFmtId="0" fontId="92" fillId="0" borderId="52" xfId="0" applyNumberFormat="1" applyFont="1" applyFill="1" applyBorder="1"/>
    <xf numFmtId="0" fontId="92" fillId="0" borderId="0" xfId="0" applyFont="1" applyFill="1" applyBorder="1" applyAlignment="1">
      <alignment horizontal="center" vertical="top"/>
    </xf>
    <xf numFmtId="0" fontId="21" fillId="0" borderId="0" xfId="0" applyFont="1" applyAlignment="1"/>
    <xf numFmtId="0" fontId="31" fillId="0" borderId="0" xfId="0" applyFont="1"/>
    <xf numFmtId="0" fontId="80" fillId="0" borderId="54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top"/>
    </xf>
    <xf numFmtId="0" fontId="73" fillId="0" borderId="19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/>
    </xf>
    <xf numFmtId="49" fontId="80" fillId="0" borderId="19" xfId="0" applyNumberFormat="1" applyFont="1" applyBorder="1" applyAlignment="1">
      <alignment horizontal="center" vertical="top"/>
    </xf>
    <xf numFmtId="0" fontId="80" fillId="0" borderId="19" xfId="0" applyFont="1" applyBorder="1" applyAlignment="1">
      <alignment horizontal="left" vertical="top" wrapText="1"/>
    </xf>
    <xf numFmtId="4" fontId="80" fillId="0" borderId="19" xfId="0" applyNumberFormat="1" applyFont="1" applyBorder="1" applyAlignment="1">
      <alignment horizontal="center" vertical="top"/>
    </xf>
    <xf numFmtId="4" fontId="80" fillId="0" borderId="11" xfId="0" applyNumberFormat="1" applyFont="1" applyBorder="1"/>
    <xf numFmtId="49" fontId="73" fillId="0" borderId="57" xfId="0" applyNumberFormat="1" applyFont="1" applyBorder="1" applyAlignment="1">
      <alignment horizontal="center" vertical="top"/>
    </xf>
    <xf numFmtId="0" fontId="73" fillId="0" borderId="19" xfId="0" applyFont="1" applyBorder="1" applyAlignment="1">
      <alignment horizontal="left" vertical="top" wrapText="1"/>
    </xf>
    <xf numFmtId="4" fontId="73" fillId="0" borderId="19" xfId="0" applyNumberFormat="1" applyFont="1" applyBorder="1" applyAlignment="1">
      <alignment horizontal="center" vertical="top"/>
    </xf>
    <xf numFmtId="4" fontId="73" fillId="0" borderId="11" xfId="0" applyNumberFormat="1" applyFont="1" applyBorder="1"/>
    <xf numFmtId="49" fontId="73" fillId="0" borderId="40" xfId="0" applyNumberFormat="1" applyFont="1" applyBorder="1" applyAlignment="1">
      <alignment horizontal="center" vertical="top"/>
    </xf>
    <xf numFmtId="49" fontId="73" fillId="0" borderId="42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1" fillId="0" borderId="11" xfId="0" applyFont="1" applyBorder="1" applyAlignment="1">
      <alignment wrapText="1"/>
    </xf>
    <xf numFmtId="4" fontId="80" fillId="0" borderId="19" xfId="0" applyNumberFormat="1" applyFont="1" applyBorder="1" applyAlignment="1">
      <alignment horizontal="center" vertical="center"/>
    </xf>
    <xf numFmtId="4" fontId="80" fillId="0" borderId="11" xfId="0" applyNumberFormat="1" applyFont="1" applyBorder="1" applyAlignment="1">
      <alignment vertical="center"/>
    </xf>
    <xf numFmtId="4" fontId="80" fillId="0" borderId="11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30" fillId="0" borderId="0" xfId="0" applyFont="1" applyBorder="1"/>
    <xf numFmtId="0" fontId="30" fillId="0" borderId="0" xfId="0" applyFont="1" applyBorder="1" applyAlignment="1">
      <alignment wrapText="1"/>
    </xf>
    <xf numFmtId="0" fontId="56" fillId="0" borderId="0" xfId="0" applyFont="1" applyFill="1" applyAlignment="1">
      <alignment horizontal="center"/>
    </xf>
    <xf numFmtId="0" fontId="81" fillId="0" borderId="0" xfId="0" applyFont="1" applyFill="1" applyBorder="1" applyAlignment="1">
      <alignment horizontal="center" vertical="top"/>
    </xf>
    <xf numFmtId="0" fontId="73" fillId="0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 wrapText="1"/>
    </xf>
    <xf numFmtId="0" fontId="81" fillId="0" borderId="0" xfId="0" applyFont="1" applyFill="1" applyAlignment="1">
      <alignment horizontal="center" vertical="top"/>
    </xf>
    <xf numFmtId="0" fontId="92" fillId="0" borderId="49" xfId="0" applyNumberFormat="1" applyFont="1" applyFill="1" applyBorder="1" applyAlignment="1">
      <alignment horizontal="center" vertical="center"/>
    </xf>
    <xf numFmtId="0" fontId="92" fillId="0" borderId="44" xfId="0" applyNumberFormat="1" applyFont="1" applyFill="1" applyBorder="1" applyAlignment="1">
      <alignment horizontal="center" vertical="center"/>
    </xf>
    <xf numFmtId="0" fontId="92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wrapText="1"/>
    </xf>
    <xf numFmtId="0" fontId="21" fillId="0" borderId="0" xfId="0" applyFont="1" applyAlignment="1">
      <alignment horizontal="right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81" fillId="0" borderId="43" xfId="0" applyNumberFormat="1" applyFont="1" applyFill="1" applyBorder="1" applyAlignment="1">
      <alignment horizontal="center"/>
    </xf>
    <xf numFmtId="0" fontId="81" fillId="0" borderId="43" xfId="0" applyFont="1" applyFill="1" applyBorder="1" applyAlignment="1">
      <alignment horizontal="left" wrapText="1"/>
    </xf>
    <xf numFmtId="0" fontId="81" fillId="0" borderId="43" xfId="0" applyFont="1" applyFill="1" applyBorder="1" applyAlignment="1">
      <alignment horizontal="center"/>
    </xf>
    <xf numFmtId="0" fontId="81" fillId="0" borderId="28" xfId="0" applyFont="1" applyFill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0" fontId="81" fillId="0" borderId="44" xfId="0" applyFont="1" applyFill="1" applyBorder="1" applyAlignment="1">
      <alignment horizontal="center"/>
    </xf>
    <xf numFmtId="0" fontId="81" fillId="0" borderId="60" xfId="0" applyFont="1" applyFill="1" applyBorder="1" applyAlignment="1">
      <alignment horizontal="center"/>
    </xf>
    <xf numFmtId="2" fontId="81" fillId="0" borderId="60" xfId="0" applyNumberFormat="1" applyFont="1" applyFill="1" applyBorder="1" applyAlignment="1">
      <alignment horizontal="center"/>
    </xf>
    <xf numFmtId="4" fontId="21" fillId="0" borderId="11" xfId="0" applyNumberFormat="1" applyFont="1" applyBorder="1"/>
    <xf numFmtId="49" fontId="1" fillId="0" borderId="11" xfId="0" applyNumberFormat="1" applyFont="1" applyFill="1" applyBorder="1"/>
    <xf numFmtId="49" fontId="1" fillId="0" borderId="11" xfId="0" applyNumberFormat="1" applyFont="1" applyBorder="1"/>
    <xf numFmtId="4" fontId="73" fillId="0" borderId="19" xfId="0" applyNumberFormat="1" applyFont="1" applyBorder="1" applyAlignment="1">
      <alignment horizontal="center" vertical="center"/>
    </xf>
    <xf numFmtId="4" fontId="73" fillId="0" borderId="11" xfId="0" applyNumberFormat="1" applyFont="1" applyBorder="1" applyAlignment="1">
      <alignment vertical="center"/>
    </xf>
    <xf numFmtId="0" fontId="56" fillId="0" borderId="0" xfId="0" applyFont="1" applyFill="1" applyAlignment="1">
      <alignment horizontal="center"/>
    </xf>
    <xf numFmtId="0" fontId="89" fillId="0" borderId="11" xfId="0" applyFont="1" applyBorder="1" applyAlignment="1">
      <alignment horizontal="center" vertical="center" wrapText="1"/>
    </xf>
    <xf numFmtId="0" fontId="51" fillId="0" borderId="0" xfId="0" applyFont="1" applyFill="1" applyAlignment="1"/>
    <xf numFmtId="0" fontId="56" fillId="0" borderId="0" xfId="0" applyFont="1" applyFill="1" applyAlignment="1">
      <alignment horizontal="center"/>
    </xf>
    <xf numFmtId="0" fontId="92" fillId="0" borderId="0" xfId="0" applyNumberFormat="1" applyFont="1" applyFill="1" applyBorder="1" applyAlignment="1">
      <alignment horizontal="center" vertical="center"/>
    </xf>
    <xf numFmtId="0" fontId="92" fillId="0" borderId="0" xfId="0" applyNumberFormat="1" applyFont="1" applyFill="1" applyBorder="1" applyAlignment="1">
      <alignment horizontal="center" vertical="top" wrapText="1"/>
    </xf>
    <xf numFmtId="0" fontId="73" fillId="0" borderId="19" xfId="0" applyFont="1" applyBorder="1" applyAlignment="1">
      <alignment horizontal="center"/>
    </xf>
    <xf numFmtId="4" fontId="73" fillId="0" borderId="19" xfId="0" applyNumberFormat="1" applyFont="1" applyBorder="1"/>
    <xf numFmtId="4" fontId="80" fillId="0" borderId="19" xfId="0" applyNumberFormat="1" applyFont="1" applyBorder="1"/>
    <xf numFmtId="4" fontId="73" fillId="0" borderId="19" xfId="0" applyNumberFormat="1" applyFont="1" applyBorder="1" applyAlignment="1">
      <alignment vertical="center"/>
    </xf>
    <xf numFmtId="0" fontId="80" fillId="0" borderId="40" xfId="0" applyFont="1" applyBorder="1"/>
    <xf numFmtId="0" fontId="73" fillId="0" borderId="40" xfId="0" applyFont="1" applyBorder="1"/>
    <xf numFmtId="0" fontId="21" fillId="0" borderId="40" xfId="0" applyFont="1" applyBorder="1"/>
    <xf numFmtId="0" fontId="89" fillId="0" borderId="11" xfId="0" applyFont="1" applyFill="1" applyBorder="1" applyAlignment="1">
      <alignment horizontal="center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95" fillId="0" borderId="11" xfId="0" applyFont="1" applyFill="1" applyBorder="1" applyAlignment="1">
      <alignment horizontal="center" vertical="center" wrapText="1"/>
    </xf>
    <xf numFmtId="0" fontId="89" fillId="0" borderId="11" xfId="0" applyFont="1" applyBorder="1" applyAlignment="1">
      <alignment horizontal="left" vertical="center" wrapText="1"/>
    </xf>
    <xf numFmtId="0" fontId="89" fillId="0" borderId="11" xfId="0" applyFont="1" applyBorder="1" applyAlignment="1">
      <alignment vertical="center" wrapText="1"/>
    </xf>
    <xf numFmtId="0" fontId="89" fillId="38" borderId="11" xfId="0" applyFont="1" applyFill="1" applyBorder="1" applyAlignment="1">
      <alignment horizontal="center" vertical="center" wrapText="1"/>
    </xf>
    <xf numFmtId="0" fontId="89" fillId="38" borderId="11" xfId="0" applyFont="1" applyFill="1" applyBorder="1" applyAlignment="1">
      <alignment vertical="center" wrapText="1"/>
    </xf>
    <xf numFmtId="0" fontId="3" fillId="0" borderId="40" xfId="0" applyFont="1" applyFill="1" applyBorder="1"/>
    <xf numFmtId="0" fontId="21" fillId="0" borderId="11" xfId="0" applyFont="1" applyFill="1" applyBorder="1" applyAlignment="1">
      <alignment horizontal="center" vertical="center" textRotation="90" wrapText="1"/>
    </xf>
    <xf numFmtId="0" fontId="89" fillId="0" borderId="19" xfId="0" applyFont="1" applyFill="1" applyBorder="1" applyAlignment="1">
      <alignment horizontal="center" vertical="center"/>
    </xf>
    <xf numFmtId="175" fontId="89" fillId="0" borderId="19" xfId="0" applyNumberFormat="1" applyFont="1" applyFill="1" applyBorder="1" applyAlignment="1">
      <alignment horizontal="right" vertical="center"/>
    </xf>
    <xf numFmtId="175" fontId="89" fillId="37" borderId="19" xfId="0" applyNumberFormat="1" applyFont="1" applyFill="1" applyBorder="1" applyAlignment="1">
      <alignment horizontal="right" vertical="center"/>
    </xf>
    <xf numFmtId="176" fontId="0" fillId="0" borderId="54" xfId="0" applyNumberFormat="1" applyBorder="1" applyAlignment="1"/>
    <xf numFmtId="0" fontId="89" fillId="0" borderId="40" xfId="0" applyFont="1" applyFill="1" applyBorder="1" applyAlignment="1">
      <alignment horizontal="center" vertical="center"/>
    </xf>
    <xf numFmtId="175" fontId="89" fillId="0" borderId="40" xfId="0" applyNumberFormat="1" applyFont="1" applyFill="1" applyBorder="1" applyAlignment="1">
      <alignment horizontal="right" vertical="center"/>
    </xf>
    <xf numFmtId="0" fontId="0" fillId="0" borderId="0" xfId="0" applyFill="1" applyBorder="1" applyAlignment="1"/>
    <xf numFmtId="0" fontId="60" fillId="0" borderId="0" xfId="0" applyFont="1" applyFill="1" applyBorder="1" applyAlignment="1"/>
    <xf numFmtId="0" fontId="6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 vertical="center"/>
    </xf>
    <xf numFmtId="0" fontId="89" fillId="0" borderId="0" xfId="0" applyFont="1" applyFill="1" applyBorder="1" applyAlignment="1">
      <alignment horizontal="center" vertical="center" wrapText="1"/>
    </xf>
    <xf numFmtId="3" fontId="2" fillId="0" borderId="40" xfId="36" applyNumberFormat="1" applyFont="1" applyFill="1" applyBorder="1" applyAlignment="1">
      <alignment horizontal="right" vertical="center"/>
    </xf>
    <xf numFmtId="175" fontId="2" fillId="0" borderId="40" xfId="0" applyNumberFormat="1" applyFont="1" applyFill="1" applyBorder="1" applyAlignment="1">
      <alignment horizontal="right" vertical="center"/>
    </xf>
    <xf numFmtId="0" fontId="2" fillId="35" borderId="54" xfId="36" applyNumberFormat="1" applyFont="1" applyFill="1" applyBorder="1" applyAlignment="1">
      <alignment horizontal="center" vertical="top" wrapText="1"/>
    </xf>
    <xf numFmtId="0" fontId="2" fillId="0" borderId="58" xfId="36" applyNumberFormat="1" applyFont="1" applyBorder="1" applyAlignment="1">
      <alignment horizontal="center" vertical="center" wrapText="1"/>
    </xf>
    <xf numFmtId="0" fontId="2" fillId="0" borderId="52" xfId="36" applyFont="1" applyBorder="1" applyAlignment="1">
      <alignment horizontal="center" vertical="center"/>
    </xf>
    <xf numFmtId="0" fontId="1" fillId="33" borderId="11" xfId="36" applyNumberFormat="1" applyFont="1" applyFill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/>
    </xf>
    <xf numFmtId="10" fontId="1" fillId="0" borderId="0" xfId="0" applyNumberFormat="1" applyFont="1"/>
    <xf numFmtId="10" fontId="1" fillId="29" borderId="11" xfId="0" applyNumberFormat="1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 vertical="top"/>
    </xf>
    <xf numFmtId="4" fontId="21" fillId="0" borderId="0" xfId="0" applyNumberFormat="1" applyFont="1"/>
    <xf numFmtId="0" fontId="89" fillId="0" borderId="11" xfId="0" applyFont="1" applyFill="1" applyBorder="1" applyAlignment="1">
      <alignment vertical="center" wrapText="1"/>
    </xf>
    <xf numFmtId="3" fontId="31" fillId="34" borderId="11" xfId="36" applyNumberFormat="1" applyFont="1" applyFill="1" applyBorder="1" applyAlignment="1">
      <alignment horizontal="right" vertical="center"/>
    </xf>
    <xf numFmtId="3" fontId="31" fillId="34" borderId="19" xfId="36" applyNumberFormat="1" applyFont="1" applyFill="1" applyBorder="1" applyAlignment="1">
      <alignment horizontal="right" vertical="center"/>
    </xf>
    <xf numFmtId="175" fontId="31" fillId="34" borderId="11" xfId="0" applyNumberFormat="1" applyFont="1" applyFill="1" applyBorder="1" applyAlignment="1">
      <alignment horizontal="right" vertical="center"/>
    </xf>
    <xf numFmtId="175" fontId="31" fillId="34" borderId="19" xfId="0" applyNumberFormat="1" applyFont="1" applyFill="1" applyBorder="1" applyAlignment="1">
      <alignment horizontal="right" vertical="center"/>
    </xf>
    <xf numFmtId="175" fontId="65" fillId="35" borderId="11" xfId="0" applyNumberFormat="1" applyFont="1" applyFill="1" applyBorder="1" applyAlignment="1">
      <alignment horizontal="right" vertical="center"/>
    </xf>
    <xf numFmtId="175" fontId="65" fillId="35" borderId="19" xfId="0" applyNumberFormat="1" applyFont="1" applyFill="1" applyBorder="1" applyAlignment="1">
      <alignment horizontal="right" vertical="center"/>
    </xf>
    <xf numFmtId="0" fontId="83" fillId="0" borderId="11" xfId="0" applyFont="1" applyFill="1" applyBorder="1" applyAlignment="1">
      <alignment horizontal="left"/>
    </xf>
    <xf numFmtId="0" fontId="82" fillId="0" borderId="14" xfId="0" applyFont="1" applyFill="1" applyBorder="1" applyAlignment="1">
      <alignment horizontal="center"/>
    </xf>
    <xf numFmtId="0" fontId="92" fillId="0" borderId="49" xfId="0" applyNumberFormat="1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left" vertical="center" wrapText="1"/>
    </xf>
    <xf numFmtId="14" fontId="30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6" fillId="0" borderId="73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56" fillId="0" borderId="0" xfId="0" applyFont="1" applyFill="1" applyAlignment="1">
      <alignment horizontal="center"/>
    </xf>
    <xf numFmtId="0" fontId="56" fillId="0" borderId="84" xfId="0" applyFont="1" applyFill="1" applyBorder="1" applyAlignment="1">
      <alignment horizontal="center"/>
    </xf>
    <xf numFmtId="0" fontId="81" fillId="0" borderId="78" xfId="0" applyFont="1" applyFill="1" applyBorder="1" applyAlignment="1">
      <alignment horizontal="center" vertical="top"/>
    </xf>
    <xf numFmtId="0" fontId="82" fillId="0" borderId="11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top" wrapText="1"/>
    </xf>
    <xf numFmtId="49" fontId="82" fillId="0" borderId="11" xfId="0" applyNumberFormat="1" applyFont="1" applyFill="1" applyBorder="1" applyAlignment="1">
      <alignment horizontal="center" vertical="top" wrapText="1"/>
    </xf>
    <xf numFmtId="0" fontId="82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left"/>
    </xf>
    <xf numFmtId="0" fontId="83" fillId="0" borderId="11" xfId="0" applyFont="1" applyFill="1" applyBorder="1" applyAlignment="1">
      <alignment horizontal="left"/>
    </xf>
    <xf numFmtId="0" fontId="82" fillId="0" borderId="19" xfId="0" applyFont="1" applyFill="1" applyBorder="1" applyAlignment="1">
      <alignment horizontal="left" vertical="center" wrapText="1"/>
    </xf>
    <xf numFmtId="0" fontId="82" fillId="0" borderId="77" xfId="0" applyFont="1" applyFill="1" applyBorder="1" applyAlignment="1">
      <alignment horizontal="left" vertical="center" wrapText="1"/>
    </xf>
    <xf numFmtId="0" fontId="82" fillId="0" borderId="54" xfId="0" applyFont="1" applyFill="1" applyBorder="1" applyAlignment="1">
      <alignment horizontal="left" vertical="center" wrapText="1"/>
    </xf>
    <xf numFmtId="0" fontId="80" fillId="0" borderId="0" xfId="0" applyFont="1" applyFill="1" applyAlignment="1">
      <alignment horizontal="left"/>
    </xf>
    <xf numFmtId="0" fontId="82" fillId="0" borderId="11" xfId="0" applyFont="1" applyFill="1" applyBorder="1" applyAlignment="1">
      <alignment horizontal="left" wrapText="1"/>
    </xf>
    <xf numFmtId="0" fontId="80" fillId="0" borderId="0" xfId="0" applyFont="1" applyAlignment="1">
      <alignment horizontal="center"/>
    </xf>
    <xf numFmtId="0" fontId="80" fillId="0" borderId="0" xfId="0" applyFont="1" applyAlignment="1">
      <alignment horizontal="center" wrapText="1"/>
    </xf>
    <xf numFmtId="0" fontId="80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92" fillId="0" borderId="11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/>
    </xf>
    <xf numFmtId="0" fontId="92" fillId="0" borderId="11" xfId="0" applyFont="1" applyBorder="1" applyAlignment="1">
      <alignment horizontal="center" vertical="top" wrapText="1"/>
    </xf>
    <xf numFmtId="49" fontId="92" fillId="0" borderId="11" xfId="0" applyNumberFormat="1" applyFont="1" applyBorder="1" applyAlignment="1">
      <alignment horizontal="left"/>
    </xf>
    <xf numFmtId="0" fontId="73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 vertical="top"/>
    </xf>
    <xf numFmtId="0" fontId="81" fillId="0" borderId="0" xfId="0" applyFont="1" applyBorder="1" applyAlignment="1">
      <alignment horizontal="center" vertical="top"/>
    </xf>
    <xf numFmtId="49" fontId="73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/>
    </xf>
    <xf numFmtId="0" fontId="82" fillId="0" borderId="14" xfId="0" applyFont="1" applyFill="1" applyBorder="1" applyAlignment="1">
      <alignment horizontal="center" vertical="center" wrapText="1"/>
    </xf>
    <xf numFmtId="0" fontId="82" fillId="0" borderId="79" xfId="0" applyFont="1" applyFill="1" applyBorder="1" applyAlignment="1">
      <alignment horizontal="center" vertical="center" wrapText="1"/>
    </xf>
    <xf numFmtId="0" fontId="82" fillId="0" borderId="31" xfId="0" applyFont="1" applyFill="1" applyBorder="1" applyAlignment="1">
      <alignment horizontal="center" vertical="center" wrapText="1"/>
    </xf>
    <xf numFmtId="49" fontId="82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82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56" fillId="0" borderId="0" xfId="0" applyNumberFormat="1" applyFont="1" applyFill="1" applyBorder="1" applyAlignment="1">
      <alignment horizontal="center"/>
    </xf>
    <xf numFmtId="0" fontId="82" fillId="0" borderId="19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top"/>
    </xf>
    <xf numFmtId="0" fontId="91" fillId="0" borderId="11" xfId="0" applyFont="1" applyFill="1" applyBorder="1" applyAlignment="1">
      <alignment horizontal="left"/>
    </xf>
    <xf numFmtId="0" fontId="73" fillId="0" borderId="0" xfId="0" applyFont="1" applyFill="1" applyBorder="1" applyAlignment="1">
      <alignment horizontal="right"/>
    </xf>
    <xf numFmtId="0" fontId="82" fillId="0" borderId="11" xfId="0" applyFont="1" applyFill="1" applyBorder="1" applyAlignment="1">
      <alignment horizontal="center" vertical="center" textRotation="90" wrapText="1"/>
    </xf>
    <xf numFmtId="0" fontId="82" fillId="0" borderId="54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horizontal="center" vertical="center"/>
    </xf>
    <xf numFmtId="0" fontId="82" fillId="0" borderId="77" xfId="0" applyFont="1" applyFill="1" applyBorder="1" applyAlignment="1">
      <alignment horizontal="center" vertical="center"/>
    </xf>
    <xf numFmtId="0" fontId="82" fillId="0" borderId="54" xfId="0" applyFont="1" applyFill="1" applyBorder="1" applyAlignment="1">
      <alignment horizontal="center" vertical="center"/>
    </xf>
    <xf numFmtId="0" fontId="82" fillId="0" borderId="58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84" xfId="0" applyFont="1" applyFill="1" applyBorder="1" applyAlignment="1">
      <alignment horizontal="center" vertical="center" wrapText="1"/>
    </xf>
    <xf numFmtId="49" fontId="82" fillId="0" borderId="11" xfId="0" applyNumberFormat="1" applyFont="1" applyFill="1" applyBorder="1" applyAlignment="1">
      <alignment horizontal="center" vertical="top"/>
    </xf>
    <xf numFmtId="0" fontId="0" fillId="0" borderId="11" xfId="0" applyFill="1" applyBorder="1"/>
    <xf numFmtId="0" fontId="82" fillId="0" borderId="19" xfId="0" applyFont="1" applyFill="1" applyBorder="1" applyAlignment="1">
      <alignment horizontal="center"/>
    </xf>
    <xf numFmtId="0" fontId="82" fillId="0" borderId="77" xfId="0" applyFont="1" applyFill="1" applyBorder="1" applyAlignment="1">
      <alignment horizontal="center"/>
    </xf>
    <xf numFmtId="0" fontId="82" fillId="0" borderId="54" xfId="0" applyFont="1" applyFill="1" applyBorder="1" applyAlignment="1">
      <alignment horizontal="center"/>
    </xf>
    <xf numFmtId="49" fontId="82" fillId="0" borderId="14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9" fillId="0" borderId="0" xfId="0" applyFont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25" borderId="14" xfId="0" applyFont="1" applyFill="1" applyBorder="1" applyAlignment="1">
      <alignment horizontal="center" vertical="center" wrapText="1"/>
    </xf>
    <xf numFmtId="0" fontId="40" fillId="25" borderId="31" xfId="0" applyFont="1" applyFill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85" fillId="0" borderId="0" xfId="0" applyFont="1" applyAlignment="1">
      <alignment horizontal="right"/>
    </xf>
    <xf numFmtId="0" fontId="87" fillId="0" borderId="0" xfId="0" applyFont="1" applyFill="1" applyBorder="1" applyAlignment="1">
      <alignment horizontal="center"/>
    </xf>
    <xf numFmtId="0" fontId="40" fillId="0" borderId="24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81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0" fontId="40" fillId="0" borderId="82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 wrapText="1"/>
    </xf>
    <xf numFmtId="0" fontId="40" fillId="0" borderId="79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 wrapText="1"/>
    </xf>
    <xf numFmtId="0" fontId="91" fillId="0" borderId="11" xfId="0" applyFont="1" applyFill="1" applyBorder="1" applyAlignment="1">
      <alignment horizontal="center" vertical="center"/>
    </xf>
    <xf numFmtId="49" fontId="3" fillId="0" borderId="57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center" wrapText="1"/>
    </xf>
    <xf numFmtId="0" fontId="56" fillId="0" borderId="0" xfId="0" applyFont="1" applyFill="1" applyBorder="1" applyAlignment="1">
      <alignment horizontal="center"/>
    </xf>
    <xf numFmtId="0" fontId="73" fillId="0" borderId="19" xfId="0" applyFont="1" applyFill="1" applyBorder="1" applyAlignment="1">
      <alignment horizontal="center" vertical="center" wrapText="1"/>
    </xf>
    <xf numFmtId="0" fontId="73" fillId="0" borderId="77" xfId="0" applyFont="1" applyFill="1" applyBorder="1" applyAlignment="1">
      <alignment horizontal="center" vertical="center" wrapText="1"/>
    </xf>
    <xf numFmtId="0" fontId="73" fillId="0" borderId="54" xfId="0" applyFont="1" applyFill="1" applyBorder="1" applyAlignment="1">
      <alignment horizontal="center" vertical="center" wrapText="1"/>
    </xf>
    <xf numFmtId="0" fontId="91" fillId="0" borderId="57" xfId="0" applyFont="1" applyFill="1" applyBorder="1" applyAlignment="1">
      <alignment horizontal="center" vertical="center" wrapText="1"/>
    </xf>
    <xf numFmtId="0" fontId="91" fillId="0" borderId="40" xfId="0" applyFont="1" applyFill="1" applyBorder="1" applyAlignment="1">
      <alignment horizontal="center" vertical="center" wrapText="1"/>
    </xf>
    <xf numFmtId="0" fontId="91" fillId="0" borderId="42" xfId="0" applyFont="1" applyFill="1" applyBorder="1" applyAlignment="1">
      <alignment horizontal="center" vertical="center" wrapText="1"/>
    </xf>
    <xf numFmtId="0" fontId="91" fillId="0" borderId="57" xfId="0" applyFont="1" applyFill="1" applyBorder="1" applyAlignment="1">
      <alignment horizontal="center" vertical="center"/>
    </xf>
    <xf numFmtId="0" fontId="91" fillId="0" borderId="40" xfId="0" applyFont="1" applyFill="1" applyBorder="1" applyAlignment="1">
      <alignment horizontal="center" vertical="center"/>
    </xf>
    <xf numFmtId="0" fontId="91" fillId="0" borderId="42" xfId="0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/>
    </xf>
    <xf numFmtId="0" fontId="92" fillId="0" borderId="87" xfId="0" applyNumberFormat="1" applyFont="1" applyFill="1" applyBorder="1" applyAlignment="1">
      <alignment horizontal="center" vertical="center" wrapText="1"/>
    </xf>
    <xf numFmtId="0" fontId="92" fillId="0" borderId="71" xfId="0" applyNumberFormat="1" applyFont="1" applyFill="1" applyBorder="1" applyAlignment="1">
      <alignment horizontal="center" vertical="center" wrapText="1"/>
    </xf>
    <xf numFmtId="0" fontId="92" fillId="0" borderId="61" xfId="0" applyNumberFormat="1" applyFont="1" applyFill="1" applyBorder="1" applyAlignment="1">
      <alignment horizontal="center" vertical="center" wrapText="1"/>
    </xf>
    <xf numFmtId="0" fontId="92" fillId="0" borderId="64" xfId="0" applyNumberFormat="1" applyFont="1" applyFill="1" applyBorder="1" applyAlignment="1">
      <alignment horizontal="center" vertical="center" wrapText="1"/>
    </xf>
    <xf numFmtId="0" fontId="92" fillId="0" borderId="62" xfId="0" applyNumberFormat="1" applyFont="1" applyFill="1" applyBorder="1" applyAlignment="1">
      <alignment horizontal="center" vertical="center" wrapText="1"/>
    </xf>
    <xf numFmtId="0" fontId="92" fillId="0" borderId="43" xfId="0" applyNumberFormat="1" applyFont="1" applyFill="1" applyBorder="1" applyAlignment="1">
      <alignment horizontal="center" vertical="center"/>
    </xf>
    <xf numFmtId="0" fontId="92" fillId="0" borderId="49" xfId="0" applyNumberFormat="1" applyFont="1" applyFill="1" applyBorder="1" applyAlignment="1">
      <alignment horizontal="center" vertical="center"/>
    </xf>
    <xf numFmtId="0" fontId="92" fillId="0" borderId="0" xfId="0" applyNumberFormat="1" applyFont="1" applyFill="1" applyBorder="1" applyAlignment="1">
      <alignment horizontal="center" vertical="center"/>
    </xf>
    <xf numFmtId="0" fontId="92" fillId="0" borderId="43" xfId="0" applyNumberFormat="1" applyFont="1" applyFill="1" applyBorder="1" applyAlignment="1">
      <alignment horizontal="center" vertical="top" wrapText="1"/>
    </xf>
    <xf numFmtId="0" fontId="92" fillId="0" borderId="49" xfId="0" applyNumberFormat="1" applyFont="1" applyFill="1" applyBorder="1" applyAlignment="1">
      <alignment horizontal="center" vertical="top" wrapText="1"/>
    </xf>
    <xf numFmtId="0" fontId="92" fillId="0" borderId="44" xfId="0" applyNumberFormat="1" applyFont="1" applyFill="1" applyBorder="1" applyAlignment="1">
      <alignment horizontal="center" vertical="top" wrapText="1"/>
    </xf>
    <xf numFmtId="0" fontId="92" fillId="0" borderId="0" xfId="0" applyNumberFormat="1" applyFont="1" applyFill="1" applyBorder="1" applyAlignment="1">
      <alignment horizontal="center" vertical="top" wrapText="1"/>
    </xf>
    <xf numFmtId="0" fontId="81" fillId="0" borderId="80" xfId="0" applyFont="1" applyFill="1" applyBorder="1" applyAlignment="1">
      <alignment horizontal="center"/>
    </xf>
    <xf numFmtId="0" fontId="81" fillId="0" borderId="53" xfId="0" applyFont="1" applyFill="1" applyBorder="1" applyAlignment="1">
      <alignment horizontal="center"/>
    </xf>
    <xf numFmtId="0" fontId="92" fillId="0" borderId="0" xfId="0" applyNumberFormat="1" applyFont="1" applyFill="1" applyBorder="1" applyAlignment="1">
      <alignment horizontal="center" wrapText="1"/>
    </xf>
    <xf numFmtId="0" fontId="92" fillId="0" borderId="0" xfId="0" applyNumberFormat="1" applyFont="1" applyFill="1" applyAlignment="1">
      <alignment horizontal="center" wrapText="1"/>
    </xf>
    <xf numFmtId="0" fontId="92" fillId="0" borderId="44" xfId="0" applyNumberFormat="1" applyFont="1" applyFill="1" applyBorder="1" applyAlignment="1">
      <alignment horizontal="center" vertical="center"/>
    </xf>
    <xf numFmtId="0" fontId="92" fillId="0" borderId="67" xfId="0" applyNumberFormat="1" applyFont="1" applyFill="1" applyBorder="1" applyAlignment="1">
      <alignment horizontal="center" vertical="center" wrapText="1"/>
    </xf>
    <xf numFmtId="0" fontId="92" fillId="0" borderId="86" xfId="0" applyNumberFormat="1" applyFont="1" applyFill="1" applyBorder="1" applyAlignment="1">
      <alignment horizontal="center" vertical="center" wrapText="1"/>
    </xf>
    <xf numFmtId="0" fontId="92" fillId="0" borderId="0" xfId="0" applyNumberFormat="1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/>
    </xf>
    <xf numFmtId="0" fontId="73" fillId="0" borderId="84" xfId="0" applyFont="1" applyFill="1" applyBorder="1" applyAlignment="1">
      <alignment horizontal="right"/>
    </xf>
    <xf numFmtId="0" fontId="81" fillId="0" borderId="0" xfId="0" applyFont="1" applyFill="1" applyAlignment="1">
      <alignment horizontal="center" vertical="top"/>
    </xf>
    <xf numFmtId="0" fontId="80" fillId="0" borderId="0" xfId="0" applyFont="1" applyFill="1" applyBorder="1" applyAlignment="1">
      <alignment horizontal="right"/>
    </xf>
    <xf numFmtId="0" fontId="92" fillId="0" borderId="87" xfId="0" applyNumberFormat="1" applyFont="1" applyFill="1" applyBorder="1" applyAlignment="1">
      <alignment horizontal="center" vertical="top" wrapText="1"/>
    </xf>
    <xf numFmtId="0" fontId="92" fillId="0" borderId="59" xfId="0" applyNumberFormat="1" applyFont="1" applyFill="1" applyBorder="1" applyAlignment="1">
      <alignment horizontal="center" vertical="top" wrapText="1"/>
    </xf>
    <xf numFmtId="0" fontId="92" fillId="0" borderId="65" xfId="0" applyNumberFormat="1" applyFont="1" applyFill="1" applyBorder="1" applyAlignment="1">
      <alignment horizontal="center" vertical="top" wrapText="1"/>
    </xf>
    <xf numFmtId="0" fontId="56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80" fillId="0" borderId="14" xfId="0" applyFont="1" applyBorder="1" applyAlignment="1">
      <alignment horizontal="center" vertical="center" wrapText="1"/>
    </xf>
    <xf numFmtId="0" fontId="80" fillId="0" borderId="79" xfId="0" applyFont="1" applyBorder="1" applyAlignment="1">
      <alignment horizontal="center" vertical="center" wrapText="1"/>
    </xf>
    <xf numFmtId="0" fontId="80" fillId="0" borderId="31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 wrapText="1"/>
    </xf>
    <xf numFmtId="0" fontId="80" fillId="0" borderId="57" xfId="0" applyFont="1" applyBorder="1" applyAlignment="1">
      <alignment horizontal="center" vertical="center"/>
    </xf>
    <xf numFmtId="0" fontId="80" fillId="0" borderId="40" xfId="0" applyFont="1" applyBorder="1" applyAlignment="1">
      <alignment horizontal="center" vertical="center"/>
    </xf>
    <xf numFmtId="0" fontId="80" fillId="0" borderId="42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49" fontId="80" fillId="0" borderId="57" xfId="0" applyNumberFormat="1" applyFont="1" applyBorder="1" applyAlignment="1">
      <alignment horizontal="center" vertical="center"/>
    </xf>
    <xf numFmtId="49" fontId="80" fillId="0" borderId="42" xfId="0" applyNumberFormat="1" applyFont="1" applyBorder="1" applyAlignment="1">
      <alignment horizontal="center" vertical="center"/>
    </xf>
    <xf numFmtId="49" fontId="80" fillId="0" borderId="11" xfId="0" applyNumberFormat="1" applyFont="1" applyBorder="1" applyAlignment="1">
      <alignment horizontal="center" vertical="center"/>
    </xf>
    <xf numFmtId="0" fontId="80" fillId="0" borderId="57" xfId="0" applyFont="1" applyBorder="1" applyAlignment="1">
      <alignment horizontal="center" vertical="center" wrapText="1"/>
    </xf>
    <xf numFmtId="0" fontId="80" fillId="0" borderId="42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/>
    </xf>
    <xf numFmtId="17" fontId="56" fillId="0" borderId="19" xfId="0" applyNumberFormat="1" applyFont="1" applyBorder="1" applyAlignment="1">
      <alignment horizontal="left"/>
    </xf>
    <xf numFmtId="17" fontId="56" fillId="0" borderId="54" xfId="0" applyNumberFormat="1" applyFont="1" applyBorder="1" applyAlignment="1">
      <alignment horizontal="left"/>
    </xf>
    <xf numFmtId="17" fontId="56" fillId="26" borderId="19" xfId="0" applyNumberFormat="1" applyFont="1" applyFill="1" applyBorder="1" applyAlignment="1">
      <alignment horizontal="left"/>
    </xf>
    <xf numFmtId="17" fontId="56" fillId="26" borderId="54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77" fillId="0" borderId="84" xfId="0" applyFont="1" applyBorder="1" applyAlignment="1">
      <alignment horizontal="left"/>
    </xf>
    <xf numFmtId="0" fontId="23" fillId="0" borderId="24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34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12" xfId="0" applyBorder="1"/>
    <xf numFmtId="0" fontId="1" fillId="0" borderId="0" xfId="0" applyFont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top" wrapText="1"/>
    </xf>
    <xf numFmtId="0" fontId="2" fillId="0" borderId="80" xfId="0" applyFont="1" applyBorder="1" applyAlignment="1">
      <alignment horizontal="center" vertical="top" wrapText="1"/>
    </xf>
    <xf numFmtId="0" fontId="2" fillId="0" borderId="73" xfId="0" applyFont="1" applyBorder="1" applyAlignment="1">
      <alignment horizontal="center" vertical="top" wrapText="1"/>
    </xf>
    <xf numFmtId="0" fontId="2" fillId="0" borderId="77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73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30" fillId="0" borderId="61" xfId="0" applyFont="1" applyFill="1" applyBorder="1" applyAlignment="1">
      <alignment horizontal="left" vertical="top" wrapText="1"/>
    </xf>
    <xf numFmtId="0" fontId="30" fillId="0" borderId="64" xfId="0" applyFont="1" applyFill="1" applyBorder="1" applyAlignment="1">
      <alignment horizontal="left" vertical="top" wrapText="1"/>
    </xf>
    <xf numFmtId="0" fontId="30" fillId="0" borderId="62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/>
    <xf numFmtId="0" fontId="1" fillId="0" borderId="11" xfId="0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72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0" fillId="0" borderId="84" xfId="0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79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top" wrapText="1"/>
    </xf>
    <xf numFmtId="0" fontId="1" fillId="0" borderId="85" xfId="0" applyNumberFormat="1" applyFont="1" applyFill="1" applyBorder="1" applyAlignment="1">
      <alignment horizontal="center" vertical="top" wrapText="1"/>
    </xf>
    <xf numFmtId="0" fontId="1" fillId="0" borderId="86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77" xfId="0" applyNumberFormat="1" applyFont="1" applyFill="1" applyBorder="1" applyAlignment="1">
      <alignment horizontal="center" vertical="top" wrapText="1"/>
    </xf>
    <xf numFmtId="0" fontId="1" fillId="0" borderId="45" xfId="0" applyNumberFormat="1" applyFont="1" applyFill="1" applyBorder="1" applyAlignment="1">
      <alignment horizontal="center" vertical="top" wrapText="1"/>
    </xf>
    <xf numFmtId="0" fontId="2" fillId="0" borderId="27" xfId="0" applyNumberFormat="1" applyFont="1" applyFill="1" applyBorder="1" applyAlignment="1">
      <alignment horizontal="center" vertical="top" wrapText="1"/>
    </xf>
    <xf numFmtId="0" fontId="0" fillId="0" borderId="85" xfId="0" applyFill="1" applyBorder="1" applyAlignment="1">
      <alignment horizontal="center" vertical="top" wrapText="1"/>
    </xf>
    <xf numFmtId="0" fontId="0" fillId="0" borderId="86" xfId="0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center" vertical="top" wrapText="1"/>
    </xf>
    <xf numFmtId="0" fontId="1" fillId="0" borderId="80" xfId="0" applyNumberFormat="1" applyFont="1" applyFill="1" applyBorder="1" applyAlignment="1">
      <alignment horizontal="center" vertical="top" wrapText="1"/>
    </xf>
    <xf numFmtId="0" fontId="1" fillId="0" borderId="46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45" xfId="0" applyFont="1" applyBorder="1" applyAlignment="1">
      <alignment horizontal="justify" vertical="top" wrapText="1"/>
    </xf>
    <xf numFmtId="0" fontId="2" fillId="0" borderId="31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165" fontId="1" fillId="0" borderId="19" xfId="37" applyNumberFormat="1" applyFont="1" applyBorder="1" applyAlignment="1">
      <alignment horizontal="center" wrapText="1"/>
    </xf>
    <xf numFmtId="165" fontId="1" fillId="0" borderId="54" xfId="37" applyNumberFormat="1" applyFont="1" applyBorder="1" applyAlignment="1">
      <alignment horizontal="center" wrapText="1"/>
    </xf>
    <xf numFmtId="0" fontId="2" fillId="0" borderId="0" xfId="37" applyFont="1" applyAlignment="1">
      <alignment horizontal="center"/>
    </xf>
    <xf numFmtId="165" fontId="26" fillId="24" borderId="11" xfId="37" applyNumberFormat="1" applyFont="1" applyFill="1" applyBorder="1" applyAlignment="1">
      <alignment horizontal="center" wrapText="1"/>
    </xf>
    <xf numFmtId="165" fontId="21" fillId="0" borderId="0" xfId="37" applyNumberFormat="1" applyFont="1" applyAlignment="1">
      <alignment horizontal="left" wrapText="1"/>
    </xf>
    <xf numFmtId="165" fontId="1" fillId="0" borderId="11" xfId="37" applyNumberFormat="1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48" fillId="0" borderId="2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80" xfId="0" applyFont="1" applyBorder="1" applyAlignment="1">
      <alignment horizontal="center" vertical="center" wrapText="1"/>
    </xf>
    <xf numFmtId="0" fontId="48" fillId="0" borderId="5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0" fillId="0" borderId="0" xfId="0" applyFont="1" applyAlignment="1">
      <alignment horizontal="right"/>
    </xf>
    <xf numFmtId="0" fontId="30" fillId="0" borderId="14" xfId="0" applyFont="1" applyFill="1" applyBorder="1" applyAlignment="1">
      <alignment horizontal="center" vertical="center" wrapText="1"/>
    </xf>
    <xf numFmtId="0" fontId="30" fillId="0" borderId="79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79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64" fillId="0" borderId="84" xfId="0" applyFont="1" applyBorder="1" applyAlignment="1">
      <alignment horizontal="left"/>
    </xf>
    <xf numFmtId="0" fontId="30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77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21" fillId="0" borderId="14" xfId="0" applyFont="1" applyFill="1" applyBorder="1" applyAlignment="1">
      <alignment horizontal="center" vertical="center" textRotation="90" wrapText="1"/>
    </xf>
    <xf numFmtId="0" fontId="21" fillId="0" borderId="79" xfId="0" applyFont="1" applyFill="1" applyBorder="1" applyAlignment="1">
      <alignment horizontal="center" vertical="center" textRotation="90" wrapText="1"/>
    </xf>
    <xf numFmtId="0" fontId="21" fillId="0" borderId="31" xfId="0" applyFont="1" applyFill="1" applyBorder="1" applyAlignment="1">
      <alignment horizontal="center" vertical="center" textRotation="90" wrapText="1"/>
    </xf>
    <xf numFmtId="0" fontId="60" fillId="0" borderId="0" xfId="0" applyFont="1" applyBorder="1" applyAlignment="1">
      <alignment horizontal="center"/>
    </xf>
    <xf numFmtId="0" fontId="2" fillId="0" borderId="19" xfId="36" applyNumberFormat="1" applyFont="1" applyFill="1" applyBorder="1" applyAlignment="1">
      <alignment horizontal="left" vertical="top" wrapText="1"/>
    </xf>
    <xf numFmtId="0" fontId="2" fillId="0" borderId="77" xfId="36" applyNumberFormat="1" applyFont="1" applyFill="1" applyBorder="1" applyAlignment="1">
      <alignment horizontal="left" vertical="top" wrapText="1"/>
    </xf>
    <xf numFmtId="0" fontId="2" fillId="0" borderId="54" xfId="36" applyNumberFormat="1" applyFont="1" applyFill="1" applyBorder="1" applyAlignment="1">
      <alignment horizontal="left" vertical="top" wrapText="1"/>
    </xf>
    <xf numFmtId="0" fontId="2" fillId="35" borderId="19" xfId="36" applyNumberFormat="1" applyFont="1" applyFill="1" applyBorder="1" applyAlignment="1">
      <alignment horizontal="center" vertical="top" wrapText="1"/>
    </xf>
    <xf numFmtId="0" fontId="2" fillId="35" borderId="77" xfId="36" applyNumberFormat="1" applyFont="1" applyFill="1" applyBorder="1" applyAlignment="1">
      <alignment horizontal="center" vertical="top" wrapText="1"/>
    </xf>
    <xf numFmtId="0" fontId="2" fillId="35" borderId="54" xfId="36" applyNumberFormat="1" applyFont="1" applyFill="1" applyBorder="1" applyAlignment="1">
      <alignment horizontal="center" vertical="top" wrapText="1"/>
    </xf>
    <xf numFmtId="0" fontId="2" fillId="0" borderId="57" xfId="36" applyNumberFormat="1" applyFont="1" applyBorder="1" applyAlignment="1">
      <alignment horizontal="center" vertical="center" wrapText="1"/>
    </xf>
    <xf numFmtId="0" fontId="2" fillId="0" borderId="78" xfId="36" applyNumberFormat="1" applyFont="1" applyBorder="1" applyAlignment="1">
      <alignment horizontal="center" vertical="center" wrapText="1"/>
    </xf>
    <xf numFmtId="0" fontId="2" fillId="0" borderId="58" xfId="36" applyNumberFormat="1" applyFont="1" applyBorder="1" applyAlignment="1">
      <alignment horizontal="center" vertical="center" wrapText="1"/>
    </xf>
    <xf numFmtId="0" fontId="1" fillId="0" borderId="0" xfId="36" applyNumberFormat="1" applyFont="1" applyBorder="1" applyAlignment="1">
      <alignment horizontal="left" vertical="top" wrapText="1"/>
    </xf>
    <xf numFmtId="0" fontId="2" fillId="0" borderId="40" xfId="36" applyFont="1" applyBorder="1" applyAlignment="1">
      <alignment horizontal="center" vertical="center"/>
    </xf>
    <xf numFmtId="0" fontId="2" fillId="0" borderId="0" xfId="36" applyFont="1" applyBorder="1" applyAlignment="1">
      <alignment horizontal="center" vertical="center"/>
    </xf>
    <xf numFmtId="0" fontId="2" fillId="0" borderId="52" xfId="36" applyFont="1" applyBorder="1" applyAlignment="1">
      <alignment horizontal="center" vertical="center"/>
    </xf>
    <xf numFmtId="0" fontId="1" fillId="33" borderId="57" xfId="36" applyNumberFormat="1" applyFont="1" applyFill="1" applyBorder="1" applyAlignment="1">
      <alignment horizontal="center" vertical="center" wrapText="1"/>
    </xf>
    <xf numFmtId="0" fontId="1" fillId="33" borderId="42" xfId="36" applyNumberFormat="1" applyFont="1" applyFill="1" applyBorder="1" applyAlignment="1">
      <alignment horizontal="center" vertical="center" wrapText="1"/>
    </xf>
    <xf numFmtId="0" fontId="1" fillId="33" borderId="11" xfId="36" applyNumberFormat="1" applyFont="1" applyFill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/>
    </xf>
    <xf numFmtId="0" fontId="89" fillId="0" borderId="19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10" fontId="3" fillId="0" borderId="11" xfId="0" applyNumberFormat="1" applyFont="1" applyFill="1" applyBorder="1" applyAlignment="1">
      <alignment horizontal="center" vertical="center"/>
    </xf>
    <xf numFmtId="49" fontId="91" fillId="0" borderId="14" xfId="0" applyNumberFormat="1" applyFont="1" applyFill="1" applyBorder="1" applyAlignment="1">
      <alignment horizontal="center" vertical="center"/>
    </xf>
    <xf numFmtId="0" fontId="91" fillId="0" borderId="14" xfId="0" applyFont="1" applyFill="1" applyBorder="1" applyAlignment="1">
      <alignment horizontal="center" vertical="center"/>
    </xf>
    <xf numFmtId="49" fontId="91" fillId="0" borderId="31" xfId="0" applyNumberFormat="1" applyFont="1" applyFill="1" applyBorder="1" applyAlignment="1">
      <alignment horizontal="center" vertical="center"/>
    </xf>
    <xf numFmtId="0" fontId="91" fillId="0" borderId="31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right" wrapText="1"/>
    </xf>
    <xf numFmtId="10" fontId="21" fillId="0" borderId="11" xfId="0" applyNumberFormat="1" applyFont="1" applyFill="1" applyBorder="1"/>
    <xf numFmtId="4" fontId="83" fillId="27" borderId="11" xfId="0" applyNumberFormat="1" applyFont="1" applyFill="1" applyBorder="1" applyAlignment="1">
      <alignment horizontal="center" vertical="center" wrapText="1"/>
    </xf>
    <xf numFmtId="4" fontId="83" fillId="27" borderId="1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30" fillId="0" borderId="0" xfId="0" applyFont="1" applyBorder="1" applyAlignment="1">
      <alignment horizontal="right"/>
    </xf>
    <xf numFmtId="0" fontId="73" fillId="0" borderId="0" xfId="0" applyFont="1" applyFill="1" applyAlignment="1">
      <alignment horizontal="right"/>
    </xf>
    <xf numFmtId="0" fontId="21" fillId="0" borderId="0" xfId="0" applyFont="1" applyAlignment="1">
      <alignment horizontal="right" wrapText="1"/>
    </xf>
  </cellXfs>
  <cellStyles count="5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 2" xfId="52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53"/>
    <cellStyle name="Обычный 3" xfId="37"/>
    <cellStyle name="Обычный 3 2" xfId="38"/>
    <cellStyle name="Обычный 4" xfId="39"/>
    <cellStyle name="Обычный 5" xfId="47"/>
    <cellStyle name="Обычный 6" xfId="50"/>
    <cellStyle name="Обычный_Tarif_2002 год" xfId="40"/>
    <cellStyle name="Плохой" xfId="41" builtinId="27" customBuiltin="1"/>
    <cellStyle name="Пояснение" xfId="42" builtinId="53" customBuiltin="1"/>
    <cellStyle name="Примечание" xfId="43" builtinId="10" customBuiltin="1"/>
    <cellStyle name="Процентный 2" xfId="51"/>
    <cellStyle name="Процентный 4" xfId="49"/>
    <cellStyle name="Связанная ячейка" xfId="44" builtinId="24" customBuiltin="1"/>
    <cellStyle name="Текст предупреждения" xfId="45" builtinId="11" customBuiltin="1"/>
    <cellStyle name="Финансовый [0] 2" xfId="54"/>
    <cellStyle name="Финансовый 2" xfId="48"/>
    <cellStyle name="Хороший" xfId="46" builtinId="26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Денежный поток на собственный капитал, руб.</a:t>
            </a:r>
          </a:p>
        </c:rich>
      </c:tx>
      <c:layout>
        <c:manualLayout>
          <c:xMode val="edge"/>
          <c:yMode val="edge"/>
          <c:x val="0.21975370320089296"/>
          <c:y val="3.9215686274509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9004739336493"/>
          <c:y val="0.10588275843580899"/>
          <c:w val="0.74644549763036183"/>
          <c:h val="0.83529731654919936"/>
        </c:manualLayout>
      </c:layout>
      <c:lineChart>
        <c:grouping val="standard"/>
        <c:varyColors val="0"/>
        <c:ser>
          <c:idx val="0"/>
          <c:order val="0"/>
          <c:tx>
            <c:v>PV</c:v>
          </c:tx>
          <c:marker>
            <c:symbol val="none"/>
          </c:marker>
          <c:cat>
            <c:numLit>
              <c:formatCode>General</c:formatCode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</c:numLit>
          </c:cat>
          <c:val>
            <c:numLit>
              <c:formatCode>General</c:formatCode>
              <c:ptCount val="10"/>
              <c:pt idx="0">
                <c:v>-265258212.57142788</c:v>
              </c:pt>
              <c:pt idx="1">
                <c:v>-69335094.857142568</c:v>
              </c:pt>
              <c:pt idx="2">
                <c:v>181736262.47885701</c:v>
              </c:pt>
              <c:pt idx="3">
                <c:v>511337418.1158722</c:v>
              </c:pt>
              <c:pt idx="4">
                <c:v>1038486045.76352</c:v>
              </c:pt>
              <c:pt idx="5">
                <c:v>1889528962.3940899</c:v>
              </c:pt>
              <c:pt idx="6">
                <c:v>3279395678.5362</c:v>
              </c:pt>
              <c:pt idx="7">
                <c:v>5750544752.1240702</c:v>
              </c:pt>
              <c:pt idx="8">
                <c:v>9919805125.558445</c:v>
              </c:pt>
              <c:pt idx="9">
                <c:v>17369284731.5075</c:v>
              </c:pt>
            </c:numLit>
          </c:val>
          <c:smooth val="0"/>
        </c:ser>
        <c:ser>
          <c:idx val="1"/>
          <c:order val="1"/>
          <c:tx>
            <c:v>NPV (без учета продажи)</c:v>
          </c:tx>
          <c:marker>
            <c:symbol val="none"/>
          </c:marker>
          <c:cat>
            <c:numLit>
              <c:formatCode>General</c:formatCode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</c:numLit>
          </c:cat>
          <c:val>
            <c:numLit>
              <c:formatCode>General</c:formatCode>
              <c:ptCount val="10"/>
              <c:pt idx="0">
                <c:v>-250087841.16623899</c:v>
              </c:pt>
              <c:pt idx="1">
                <c:v>-85893986.200928301</c:v>
              </c:pt>
              <c:pt idx="2">
                <c:v>101137990.71060702</c:v>
              </c:pt>
              <c:pt idx="3">
                <c:v>319388314.74496001</c:v>
              </c:pt>
              <c:pt idx="4">
                <c:v>629663275.40429199</c:v>
              </c:pt>
              <c:pt idx="5">
                <c:v>1074922153.7088599</c:v>
              </c:pt>
              <c:pt idx="6">
                <c:v>1721292998.4208801</c:v>
              </c:pt>
              <c:pt idx="7">
                <c:v>2742832175.4774327</c:v>
              </c:pt>
              <c:pt idx="8">
                <c:v>4274845622.20751</c:v>
              </c:pt>
              <c:pt idx="9">
                <c:v>6708040941.2248297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633696"/>
        <c:axId val="1836636416"/>
      </c:lineChart>
      <c:catAx>
        <c:axId val="183663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836636416"/>
        <c:crosses val="autoZero"/>
        <c:auto val="1"/>
        <c:lblAlgn val="ctr"/>
        <c:lblOffset val="100"/>
        <c:noMultiLvlLbl val="0"/>
      </c:catAx>
      <c:valAx>
        <c:axId val="1836636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836633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563242525718766"/>
          <c:y val="0.90588564664713256"/>
          <c:w val="0.78390973542100395"/>
          <c:h val="7.8431784262260051E-2"/>
        </c:manualLayout>
      </c:layout>
      <c:overlay val="0"/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914400</xdr:colOff>
      <xdr:row>20</xdr:row>
      <xdr:rowOff>190500</xdr:rowOff>
    </xdr:from>
    <xdr:to>
      <xdr:col>11</xdr:col>
      <xdr:colOff>1247775</xdr:colOff>
      <xdr:row>33</xdr:row>
      <xdr:rowOff>0</xdr:rowOff>
    </xdr:to>
    <xdr:graphicFrame macro="">
      <xdr:nvGraphicFramePr>
        <xdr:cNvPr id="517279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578304</xdr:colOff>
      <xdr:row>12</xdr:row>
      <xdr:rowOff>52252</xdr:rowOff>
    </xdr:from>
    <xdr:ext cx="102838" cy="258847"/>
    <xdr:sp macro="" textlink="">
      <xdr:nvSpPr>
        <xdr:cNvPr id="2" name="TextBox 1"/>
        <xdr:cNvSpPr txBox="1"/>
      </xdr:nvSpPr>
      <xdr:spPr>
        <a:xfrm>
          <a:off x="5474154" y="2795452"/>
          <a:ext cx="102838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570684</xdr:colOff>
      <xdr:row>12</xdr:row>
      <xdr:rowOff>52252</xdr:rowOff>
    </xdr:from>
    <xdr:ext cx="104882" cy="258847"/>
    <xdr:sp macro="" textlink="">
      <xdr:nvSpPr>
        <xdr:cNvPr id="3" name="TextBox 2"/>
        <xdr:cNvSpPr txBox="1"/>
      </xdr:nvSpPr>
      <xdr:spPr>
        <a:xfrm>
          <a:off x="8952684" y="2795452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570684</xdr:colOff>
      <xdr:row>12</xdr:row>
      <xdr:rowOff>52252</xdr:rowOff>
    </xdr:from>
    <xdr:ext cx="104882" cy="258847"/>
    <xdr:sp macro="" textlink="">
      <xdr:nvSpPr>
        <xdr:cNvPr id="4" name="TextBox 3"/>
        <xdr:cNvSpPr txBox="1"/>
      </xdr:nvSpPr>
      <xdr:spPr>
        <a:xfrm>
          <a:off x="6628584" y="2795452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578304</xdr:colOff>
      <xdr:row>12</xdr:row>
      <xdr:rowOff>52252</xdr:rowOff>
    </xdr:from>
    <xdr:ext cx="102838" cy="258847"/>
    <xdr:sp macro="" textlink="">
      <xdr:nvSpPr>
        <xdr:cNvPr id="5" name="TextBox 4"/>
        <xdr:cNvSpPr txBox="1"/>
      </xdr:nvSpPr>
      <xdr:spPr>
        <a:xfrm>
          <a:off x="7798254" y="2795452"/>
          <a:ext cx="102838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578304</xdr:colOff>
      <xdr:row>18</xdr:row>
      <xdr:rowOff>52252</xdr:rowOff>
    </xdr:from>
    <xdr:ext cx="102838" cy="258847"/>
    <xdr:sp macro="" textlink="">
      <xdr:nvSpPr>
        <xdr:cNvPr id="2" name="TextBox 1"/>
        <xdr:cNvSpPr txBox="1"/>
      </xdr:nvSpPr>
      <xdr:spPr>
        <a:xfrm>
          <a:off x="3999684" y="2422072"/>
          <a:ext cx="102838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570684</xdr:colOff>
      <xdr:row>18</xdr:row>
      <xdr:rowOff>52252</xdr:rowOff>
    </xdr:from>
    <xdr:ext cx="104882" cy="258847"/>
    <xdr:sp macro="" textlink="">
      <xdr:nvSpPr>
        <xdr:cNvPr id="3" name="TextBox 2"/>
        <xdr:cNvSpPr txBox="1"/>
      </xdr:nvSpPr>
      <xdr:spPr>
        <a:xfrm>
          <a:off x="6438084" y="2422072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570684</xdr:colOff>
      <xdr:row>18</xdr:row>
      <xdr:rowOff>52252</xdr:rowOff>
    </xdr:from>
    <xdr:ext cx="104882" cy="258847"/>
    <xdr:sp macro="" textlink="">
      <xdr:nvSpPr>
        <xdr:cNvPr id="4" name="TextBox 3"/>
        <xdr:cNvSpPr txBox="1"/>
      </xdr:nvSpPr>
      <xdr:spPr>
        <a:xfrm>
          <a:off x="4693104" y="2422072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578304</xdr:colOff>
      <xdr:row>18</xdr:row>
      <xdr:rowOff>52252</xdr:rowOff>
    </xdr:from>
    <xdr:ext cx="102838" cy="258847"/>
    <xdr:sp macro="" textlink="">
      <xdr:nvSpPr>
        <xdr:cNvPr id="5" name="TextBox 4"/>
        <xdr:cNvSpPr txBox="1"/>
      </xdr:nvSpPr>
      <xdr:spPr>
        <a:xfrm>
          <a:off x="5706564" y="2422072"/>
          <a:ext cx="102838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578304</xdr:colOff>
      <xdr:row>18</xdr:row>
      <xdr:rowOff>52252</xdr:rowOff>
    </xdr:from>
    <xdr:ext cx="102838" cy="258847"/>
    <xdr:sp macro="" textlink="">
      <xdr:nvSpPr>
        <xdr:cNvPr id="6" name="TextBox 5"/>
        <xdr:cNvSpPr txBox="1"/>
      </xdr:nvSpPr>
      <xdr:spPr>
        <a:xfrm>
          <a:off x="3999684" y="3755572"/>
          <a:ext cx="102838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570684</xdr:colOff>
      <xdr:row>18</xdr:row>
      <xdr:rowOff>52252</xdr:rowOff>
    </xdr:from>
    <xdr:ext cx="104882" cy="258847"/>
    <xdr:sp macro="" textlink="">
      <xdr:nvSpPr>
        <xdr:cNvPr id="7" name="TextBox 6"/>
        <xdr:cNvSpPr txBox="1"/>
      </xdr:nvSpPr>
      <xdr:spPr>
        <a:xfrm>
          <a:off x="6438084" y="3755572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570684</xdr:colOff>
      <xdr:row>18</xdr:row>
      <xdr:rowOff>52252</xdr:rowOff>
    </xdr:from>
    <xdr:ext cx="104882" cy="258847"/>
    <xdr:sp macro="" textlink="">
      <xdr:nvSpPr>
        <xdr:cNvPr id="8" name="TextBox 7"/>
        <xdr:cNvSpPr txBox="1"/>
      </xdr:nvSpPr>
      <xdr:spPr>
        <a:xfrm>
          <a:off x="4693104" y="3755572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578304</xdr:colOff>
      <xdr:row>18</xdr:row>
      <xdr:rowOff>52252</xdr:rowOff>
    </xdr:from>
    <xdr:ext cx="102838" cy="258847"/>
    <xdr:sp macro="" textlink="">
      <xdr:nvSpPr>
        <xdr:cNvPr id="9" name="TextBox 8"/>
        <xdr:cNvSpPr txBox="1"/>
      </xdr:nvSpPr>
      <xdr:spPr>
        <a:xfrm>
          <a:off x="5706564" y="3755572"/>
          <a:ext cx="102838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578304</xdr:colOff>
      <xdr:row>18</xdr:row>
      <xdr:rowOff>52252</xdr:rowOff>
    </xdr:from>
    <xdr:ext cx="102838" cy="258847"/>
    <xdr:sp macro="" textlink="">
      <xdr:nvSpPr>
        <xdr:cNvPr id="10" name="TextBox 9"/>
        <xdr:cNvSpPr txBox="1"/>
      </xdr:nvSpPr>
      <xdr:spPr>
        <a:xfrm>
          <a:off x="3421380" y="2422072"/>
          <a:ext cx="102838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570684</xdr:colOff>
      <xdr:row>18</xdr:row>
      <xdr:rowOff>52252</xdr:rowOff>
    </xdr:from>
    <xdr:ext cx="104882" cy="258847"/>
    <xdr:sp macro="" textlink="">
      <xdr:nvSpPr>
        <xdr:cNvPr id="11" name="TextBox 10"/>
        <xdr:cNvSpPr txBox="1"/>
      </xdr:nvSpPr>
      <xdr:spPr>
        <a:xfrm>
          <a:off x="3421380" y="2422072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570684</xdr:colOff>
      <xdr:row>18</xdr:row>
      <xdr:rowOff>52252</xdr:rowOff>
    </xdr:from>
    <xdr:ext cx="104882" cy="258847"/>
    <xdr:sp macro="" textlink="">
      <xdr:nvSpPr>
        <xdr:cNvPr id="12" name="TextBox 11"/>
        <xdr:cNvSpPr txBox="1"/>
      </xdr:nvSpPr>
      <xdr:spPr>
        <a:xfrm>
          <a:off x="3421380" y="2422072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578304</xdr:colOff>
      <xdr:row>18</xdr:row>
      <xdr:rowOff>52252</xdr:rowOff>
    </xdr:from>
    <xdr:ext cx="102838" cy="258847"/>
    <xdr:sp macro="" textlink="">
      <xdr:nvSpPr>
        <xdr:cNvPr id="13" name="TextBox 12"/>
        <xdr:cNvSpPr txBox="1"/>
      </xdr:nvSpPr>
      <xdr:spPr>
        <a:xfrm>
          <a:off x="3421380" y="2422072"/>
          <a:ext cx="102838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570684</xdr:colOff>
      <xdr:row>20</xdr:row>
      <xdr:rowOff>52252</xdr:rowOff>
    </xdr:from>
    <xdr:ext cx="104882" cy="258847"/>
    <xdr:sp macro="" textlink="">
      <xdr:nvSpPr>
        <xdr:cNvPr id="14" name="TextBox 13"/>
        <xdr:cNvSpPr txBox="1"/>
      </xdr:nvSpPr>
      <xdr:spPr>
        <a:xfrm>
          <a:off x="4946741" y="4058195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578304</xdr:colOff>
      <xdr:row>20</xdr:row>
      <xdr:rowOff>52252</xdr:rowOff>
    </xdr:from>
    <xdr:ext cx="102838" cy="258847"/>
    <xdr:sp macro="" textlink="">
      <xdr:nvSpPr>
        <xdr:cNvPr id="15" name="TextBox 14"/>
        <xdr:cNvSpPr txBox="1"/>
      </xdr:nvSpPr>
      <xdr:spPr>
        <a:xfrm>
          <a:off x="4214133" y="4058195"/>
          <a:ext cx="102838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570684</xdr:colOff>
      <xdr:row>20</xdr:row>
      <xdr:rowOff>52252</xdr:rowOff>
    </xdr:from>
    <xdr:ext cx="104882" cy="258847"/>
    <xdr:sp macro="" textlink="">
      <xdr:nvSpPr>
        <xdr:cNvPr id="16" name="TextBox 15"/>
        <xdr:cNvSpPr txBox="1"/>
      </xdr:nvSpPr>
      <xdr:spPr>
        <a:xfrm>
          <a:off x="4946741" y="4058195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578304</xdr:colOff>
      <xdr:row>20</xdr:row>
      <xdr:rowOff>52252</xdr:rowOff>
    </xdr:from>
    <xdr:ext cx="102838" cy="258847"/>
    <xdr:sp macro="" textlink="">
      <xdr:nvSpPr>
        <xdr:cNvPr id="17" name="TextBox 16"/>
        <xdr:cNvSpPr txBox="1"/>
      </xdr:nvSpPr>
      <xdr:spPr>
        <a:xfrm>
          <a:off x="4214133" y="4058195"/>
          <a:ext cx="102838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570684</xdr:colOff>
      <xdr:row>20</xdr:row>
      <xdr:rowOff>52252</xdr:rowOff>
    </xdr:from>
    <xdr:ext cx="104882" cy="258847"/>
    <xdr:sp macro="" textlink="">
      <xdr:nvSpPr>
        <xdr:cNvPr id="18" name="TextBox 17"/>
        <xdr:cNvSpPr txBox="1"/>
      </xdr:nvSpPr>
      <xdr:spPr>
        <a:xfrm>
          <a:off x="4946741" y="4058195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578304</xdr:colOff>
      <xdr:row>20</xdr:row>
      <xdr:rowOff>52252</xdr:rowOff>
    </xdr:from>
    <xdr:ext cx="102838" cy="258847"/>
    <xdr:sp macro="" textlink="">
      <xdr:nvSpPr>
        <xdr:cNvPr id="19" name="TextBox 18"/>
        <xdr:cNvSpPr txBox="1"/>
      </xdr:nvSpPr>
      <xdr:spPr>
        <a:xfrm>
          <a:off x="4214133" y="4058195"/>
          <a:ext cx="102838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570684</xdr:colOff>
      <xdr:row>21</xdr:row>
      <xdr:rowOff>52252</xdr:rowOff>
    </xdr:from>
    <xdr:ext cx="104882" cy="258847"/>
    <xdr:sp macro="" textlink="">
      <xdr:nvSpPr>
        <xdr:cNvPr id="20" name="TextBox 19"/>
        <xdr:cNvSpPr txBox="1"/>
      </xdr:nvSpPr>
      <xdr:spPr>
        <a:xfrm>
          <a:off x="5176551" y="4437985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570684</xdr:colOff>
      <xdr:row>21</xdr:row>
      <xdr:rowOff>52252</xdr:rowOff>
    </xdr:from>
    <xdr:ext cx="104882" cy="258847"/>
    <xdr:sp macro="" textlink="">
      <xdr:nvSpPr>
        <xdr:cNvPr id="21" name="TextBox 20"/>
        <xdr:cNvSpPr txBox="1"/>
      </xdr:nvSpPr>
      <xdr:spPr>
        <a:xfrm>
          <a:off x="5176551" y="4437985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570684</xdr:colOff>
      <xdr:row>21</xdr:row>
      <xdr:rowOff>52252</xdr:rowOff>
    </xdr:from>
    <xdr:ext cx="104882" cy="258847"/>
    <xdr:sp macro="" textlink="">
      <xdr:nvSpPr>
        <xdr:cNvPr id="22" name="TextBox 21"/>
        <xdr:cNvSpPr txBox="1"/>
      </xdr:nvSpPr>
      <xdr:spPr>
        <a:xfrm>
          <a:off x="5176551" y="4437985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570684</xdr:colOff>
      <xdr:row>22</xdr:row>
      <xdr:rowOff>52252</xdr:rowOff>
    </xdr:from>
    <xdr:ext cx="104882" cy="258847"/>
    <xdr:sp macro="" textlink="">
      <xdr:nvSpPr>
        <xdr:cNvPr id="23" name="TextBox 22"/>
        <xdr:cNvSpPr txBox="1"/>
      </xdr:nvSpPr>
      <xdr:spPr>
        <a:xfrm>
          <a:off x="5176551" y="4437985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570684</xdr:colOff>
      <xdr:row>22</xdr:row>
      <xdr:rowOff>52252</xdr:rowOff>
    </xdr:from>
    <xdr:ext cx="104882" cy="258847"/>
    <xdr:sp macro="" textlink="">
      <xdr:nvSpPr>
        <xdr:cNvPr id="24" name="TextBox 23"/>
        <xdr:cNvSpPr txBox="1"/>
      </xdr:nvSpPr>
      <xdr:spPr>
        <a:xfrm>
          <a:off x="5176551" y="4437985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570684</xdr:colOff>
      <xdr:row>22</xdr:row>
      <xdr:rowOff>52252</xdr:rowOff>
    </xdr:from>
    <xdr:ext cx="104882" cy="258847"/>
    <xdr:sp macro="" textlink="">
      <xdr:nvSpPr>
        <xdr:cNvPr id="25" name="TextBox 24"/>
        <xdr:cNvSpPr txBox="1"/>
      </xdr:nvSpPr>
      <xdr:spPr>
        <a:xfrm>
          <a:off x="5176551" y="4437985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570684</xdr:colOff>
      <xdr:row>23</xdr:row>
      <xdr:rowOff>52252</xdr:rowOff>
    </xdr:from>
    <xdr:ext cx="104882" cy="258847"/>
    <xdr:sp macro="" textlink="">
      <xdr:nvSpPr>
        <xdr:cNvPr id="26" name="TextBox 25"/>
        <xdr:cNvSpPr txBox="1"/>
      </xdr:nvSpPr>
      <xdr:spPr>
        <a:xfrm>
          <a:off x="5176551" y="4437985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570684</xdr:colOff>
      <xdr:row>23</xdr:row>
      <xdr:rowOff>52252</xdr:rowOff>
    </xdr:from>
    <xdr:ext cx="104882" cy="258847"/>
    <xdr:sp macro="" textlink="">
      <xdr:nvSpPr>
        <xdr:cNvPr id="27" name="TextBox 26"/>
        <xdr:cNvSpPr txBox="1"/>
      </xdr:nvSpPr>
      <xdr:spPr>
        <a:xfrm>
          <a:off x="5176551" y="4437985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570684</xdr:colOff>
      <xdr:row>23</xdr:row>
      <xdr:rowOff>52252</xdr:rowOff>
    </xdr:from>
    <xdr:ext cx="104882" cy="258847"/>
    <xdr:sp macro="" textlink="">
      <xdr:nvSpPr>
        <xdr:cNvPr id="28" name="TextBox 27"/>
        <xdr:cNvSpPr txBox="1"/>
      </xdr:nvSpPr>
      <xdr:spPr>
        <a:xfrm>
          <a:off x="5176551" y="4437985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570684</xdr:colOff>
      <xdr:row>24</xdr:row>
      <xdr:rowOff>52252</xdr:rowOff>
    </xdr:from>
    <xdr:ext cx="104882" cy="258847"/>
    <xdr:sp macro="" textlink="">
      <xdr:nvSpPr>
        <xdr:cNvPr id="29" name="TextBox 28"/>
        <xdr:cNvSpPr txBox="1"/>
      </xdr:nvSpPr>
      <xdr:spPr>
        <a:xfrm>
          <a:off x="5176551" y="4437985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570684</xdr:colOff>
      <xdr:row>24</xdr:row>
      <xdr:rowOff>52252</xdr:rowOff>
    </xdr:from>
    <xdr:ext cx="104882" cy="258847"/>
    <xdr:sp macro="" textlink="">
      <xdr:nvSpPr>
        <xdr:cNvPr id="30" name="TextBox 29"/>
        <xdr:cNvSpPr txBox="1"/>
      </xdr:nvSpPr>
      <xdr:spPr>
        <a:xfrm>
          <a:off x="5176551" y="4437985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570684</xdr:colOff>
      <xdr:row>24</xdr:row>
      <xdr:rowOff>52252</xdr:rowOff>
    </xdr:from>
    <xdr:ext cx="104882" cy="258847"/>
    <xdr:sp macro="" textlink="">
      <xdr:nvSpPr>
        <xdr:cNvPr id="31" name="TextBox 30"/>
        <xdr:cNvSpPr txBox="1"/>
      </xdr:nvSpPr>
      <xdr:spPr>
        <a:xfrm>
          <a:off x="5176551" y="4437985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570684</xdr:colOff>
      <xdr:row>25</xdr:row>
      <xdr:rowOff>52252</xdr:rowOff>
    </xdr:from>
    <xdr:ext cx="104882" cy="258847"/>
    <xdr:sp macro="" textlink="">
      <xdr:nvSpPr>
        <xdr:cNvPr id="32" name="TextBox 31"/>
        <xdr:cNvSpPr txBox="1"/>
      </xdr:nvSpPr>
      <xdr:spPr>
        <a:xfrm>
          <a:off x="5176551" y="4437985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570684</xdr:colOff>
      <xdr:row>25</xdr:row>
      <xdr:rowOff>52252</xdr:rowOff>
    </xdr:from>
    <xdr:ext cx="104882" cy="258847"/>
    <xdr:sp macro="" textlink="">
      <xdr:nvSpPr>
        <xdr:cNvPr id="33" name="TextBox 32"/>
        <xdr:cNvSpPr txBox="1"/>
      </xdr:nvSpPr>
      <xdr:spPr>
        <a:xfrm>
          <a:off x="5176551" y="4437985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570684</xdr:colOff>
      <xdr:row>25</xdr:row>
      <xdr:rowOff>52252</xdr:rowOff>
    </xdr:from>
    <xdr:ext cx="104882" cy="258847"/>
    <xdr:sp macro="" textlink="">
      <xdr:nvSpPr>
        <xdr:cNvPr id="34" name="TextBox 33"/>
        <xdr:cNvSpPr txBox="1"/>
      </xdr:nvSpPr>
      <xdr:spPr>
        <a:xfrm>
          <a:off x="5176551" y="4437985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570684</xdr:colOff>
      <xdr:row>26</xdr:row>
      <xdr:rowOff>52252</xdr:rowOff>
    </xdr:from>
    <xdr:ext cx="104882" cy="258847"/>
    <xdr:sp macro="" textlink="">
      <xdr:nvSpPr>
        <xdr:cNvPr id="35" name="TextBox 34"/>
        <xdr:cNvSpPr txBox="1"/>
      </xdr:nvSpPr>
      <xdr:spPr>
        <a:xfrm>
          <a:off x="5176551" y="4437985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570684</xdr:colOff>
      <xdr:row>26</xdr:row>
      <xdr:rowOff>52252</xdr:rowOff>
    </xdr:from>
    <xdr:ext cx="104882" cy="258847"/>
    <xdr:sp macro="" textlink="">
      <xdr:nvSpPr>
        <xdr:cNvPr id="36" name="TextBox 35"/>
        <xdr:cNvSpPr txBox="1"/>
      </xdr:nvSpPr>
      <xdr:spPr>
        <a:xfrm>
          <a:off x="5176551" y="4437985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570684</xdr:colOff>
      <xdr:row>26</xdr:row>
      <xdr:rowOff>52252</xdr:rowOff>
    </xdr:from>
    <xdr:ext cx="104882" cy="258847"/>
    <xdr:sp macro="" textlink="">
      <xdr:nvSpPr>
        <xdr:cNvPr id="37" name="TextBox 36"/>
        <xdr:cNvSpPr txBox="1"/>
      </xdr:nvSpPr>
      <xdr:spPr>
        <a:xfrm>
          <a:off x="5176551" y="4437985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02\&#1086;&#1088;&#1075;&#1072;&#1085;&#1080;&#1079;&#1072;&#1094;&#1080;&#1086;&#1085;&#1085;&#1086;-&#1087;&#1088;&#1072;&#1074;&#1086;&#1074;&#1086;&#1081;%20&#1086;&#1090;&#1076;&#1077;&#1083;\&#1054;&#1082;&#1089;&#1072;&#1085;&#1072;\&#1048;&#1053;&#1042;&#1045;&#1057;&#1058;&#1055;&#1056;&#1054;&#1043;&#1056;&#1040;&#1052;&#1052;&#1067;\&#1050;&#1054;&#1056;&#1071;&#1050;&#1069;&#1053;&#1045;&#1056;&#1043;&#1054;%202018-2026\&#1048;&#1055;%20&#1048;&#1057;&#1055;&#1056;&#1040;&#1042;&#1051;&#1045;&#1053;%2018.09.2017\&#1074;%20&#1056;&#1057;&#1058;&#1080;&#1062;%2018%2009%2017\&#1048;&#1055;%20&#1058;&#1057;%202018_2025_2026\&#1048;&#1057;&#1055;&#1056;&#1040;&#1042;&#1051;&#1045;&#1053;&#1048;&#1071;%20&#1055;&#1054;%20&#1047;&#1040;&#1052;&#1045;&#1063;&#1040;&#1053;&#1048;&#1071;&#1052;%20&#1050;%2026.10.17\4%20&#1040;&#1087;&#1091;&#1082;&#1072;\&#1048;&#1055;%20&#1058;&#1057;%202018_2026_&#1040;&#1087;&#1091;&#1082;&#1072;%20-%20&#1057;&#1051;&#1059;&#1046;&#1041;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.4"/>
      <sheetName val=" 2.3"/>
      <sheetName val="6.1. ИП ТС"/>
      <sheetName val="6.2. ИП ТС"/>
      <sheetName val="содержание"/>
      <sheetName val="Паспорт"/>
      <sheetName val="2 ИП ТС"/>
      <sheetName val="2.2"/>
      <sheetName val="3 ИП ТС"/>
      <sheetName val="4 ИП ТС"/>
      <sheetName val="Финплан"/>
      <sheetName val="4.3"/>
      <sheetName val="График ввода"/>
      <sheetName val="Кредит"/>
      <sheetName val="5"/>
      <sheetName val="6.1"/>
      <sheetName val="6.2"/>
      <sheetName val="6.3"/>
      <sheetName val="7.1"/>
      <sheetName val="7.2"/>
      <sheetName val="8"/>
      <sheetName val="9"/>
      <sheetName val="10"/>
      <sheetName val="11.1"/>
      <sheetName val="11.2"/>
      <sheetName val="12"/>
      <sheetName val="13"/>
      <sheetName val="Смета"/>
      <sheetName val="График амотриз"/>
      <sheetName val="Расчет амортиза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23">
          <cell r="E123">
            <v>131.06494791666663</v>
          </cell>
        </row>
        <row r="124">
          <cell r="E124">
            <v>257.46754187514273</v>
          </cell>
        </row>
        <row r="125">
          <cell r="E125">
            <v>701.00992044247926</v>
          </cell>
        </row>
        <row r="126">
          <cell r="E126">
            <v>299.91213198094101</v>
          </cell>
        </row>
        <row r="127">
          <cell r="E127">
            <v>453.3194877501715</v>
          </cell>
        </row>
        <row r="128">
          <cell r="E128">
            <v>117.11919928863324</v>
          </cell>
        </row>
        <row r="129">
          <cell r="E129">
            <v>182.78342729180977</v>
          </cell>
        </row>
        <row r="130">
          <cell r="E130">
            <v>184.71767208347651</v>
          </cell>
        </row>
        <row r="131">
          <cell r="E131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2">
          <cell r="G12">
            <v>1133488.4927360774</v>
          </cell>
          <cell r="H12">
            <v>1358352.9579782663</v>
          </cell>
          <cell r="I12">
            <v>2056488.8212270278</v>
          </cell>
          <cell r="J12">
            <v>2322463.5376677057</v>
          </cell>
          <cell r="K12">
            <v>2327964.4813723061</v>
          </cell>
          <cell r="L12">
            <v>2365360.0624861079</v>
          </cell>
          <cell r="M12">
            <v>2374210.9140962195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zoomScale="60" zoomScaleNormal="60" workbookViewId="0">
      <selection activeCell="U3" sqref="U3"/>
    </sheetView>
  </sheetViews>
  <sheetFormatPr defaultColWidth="9" defaultRowHeight="15.75" x14ac:dyDescent="0.25"/>
  <cols>
    <col min="1" max="1" width="9" style="1"/>
    <col min="2" max="2" width="37.25" style="1" bestFit="1" customWidth="1"/>
    <col min="3" max="3" width="13.375" style="1" customWidth="1"/>
    <col min="4" max="4" width="9.25" style="1" bestFit="1" customWidth="1"/>
    <col min="5" max="5" width="12" style="291" customWidth="1"/>
    <col min="6" max="6" width="6.125" style="1" bestFit="1" customWidth="1"/>
    <col min="7" max="7" width="12" style="291" customWidth="1"/>
    <col min="8" max="8" width="6.125" style="1" bestFit="1" customWidth="1"/>
    <col min="9" max="9" width="12" style="291" customWidth="1"/>
    <col min="10" max="10" width="6.125" style="1" bestFit="1" customWidth="1"/>
    <col min="11" max="11" width="12" style="291" customWidth="1"/>
    <col min="12" max="12" width="6.125" style="1" bestFit="1" customWidth="1"/>
    <col min="13" max="13" width="12" style="291" customWidth="1"/>
    <col min="14" max="14" width="14" style="1" customWidth="1"/>
    <col min="15" max="15" width="12.25" style="1" customWidth="1"/>
    <col min="16" max="16" width="6.25" style="1" customWidth="1"/>
    <col min="17" max="18" width="14.375" style="1" customWidth="1"/>
    <col min="19" max="20" width="9.375" style="1" customWidth="1"/>
    <col min="21" max="21" width="18.875" style="1" customWidth="1"/>
    <col min="22" max="16384" width="9" style="1"/>
  </cols>
  <sheetData>
    <row r="1" spans="1:21" x14ac:dyDescent="0.25">
      <c r="U1" s="4"/>
    </row>
    <row r="2" spans="1:21" x14ac:dyDescent="0.25">
      <c r="U2" s="4" t="s">
        <v>293</v>
      </c>
    </row>
    <row r="3" spans="1:21" x14ac:dyDescent="0.25">
      <c r="U3" s="4" t="s">
        <v>91</v>
      </c>
    </row>
    <row r="4" spans="1:21" x14ac:dyDescent="0.25">
      <c r="U4" s="4" t="s">
        <v>106</v>
      </c>
    </row>
    <row r="5" spans="1:21" x14ac:dyDescent="0.25">
      <c r="U5" s="4"/>
    </row>
    <row r="6" spans="1:21" x14ac:dyDescent="0.25">
      <c r="A6" s="16"/>
    </row>
    <row r="7" spans="1:21" x14ac:dyDescent="0.25">
      <c r="A7" s="907" t="s">
        <v>317</v>
      </c>
      <c r="B7" s="907"/>
      <c r="C7" s="907"/>
      <c r="D7" s="907"/>
      <c r="E7" s="907"/>
      <c r="F7" s="907"/>
      <c r="G7" s="907"/>
      <c r="H7" s="907"/>
      <c r="I7" s="907"/>
      <c r="J7" s="907"/>
      <c r="K7" s="907"/>
      <c r="L7" s="907"/>
      <c r="M7" s="907"/>
      <c r="N7" s="907"/>
      <c r="O7" s="907"/>
      <c r="P7" s="907"/>
      <c r="Q7" s="907"/>
      <c r="R7" s="907"/>
      <c r="S7" s="907"/>
      <c r="T7" s="907"/>
      <c r="U7" s="907"/>
    </row>
    <row r="8" spans="1:21" x14ac:dyDescent="0.25">
      <c r="A8" s="286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</row>
    <row r="9" spans="1:21" x14ac:dyDescent="0.25">
      <c r="U9" s="4" t="s">
        <v>92</v>
      </c>
    </row>
    <row r="10" spans="1:21" x14ac:dyDescent="0.25">
      <c r="U10" s="4" t="s">
        <v>93</v>
      </c>
    </row>
    <row r="11" spans="1:21" x14ac:dyDescent="0.25">
      <c r="U11" s="4"/>
    </row>
    <row r="12" spans="1:21" x14ac:dyDescent="0.25">
      <c r="U12" s="195" t="s">
        <v>94</v>
      </c>
    </row>
    <row r="13" spans="1:21" x14ac:dyDescent="0.25">
      <c r="A13" s="16"/>
      <c r="U13" s="4" t="s">
        <v>95</v>
      </c>
    </row>
    <row r="14" spans="1:21" x14ac:dyDescent="0.25">
      <c r="A14" s="16"/>
      <c r="U14" s="4" t="s">
        <v>96</v>
      </c>
    </row>
    <row r="15" spans="1:21" ht="16.5" thickBot="1" x14ac:dyDescent="0.3"/>
    <row r="16" spans="1:21" ht="126" customHeight="1" x14ac:dyDescent="0.25">
      <c r="A16" s="908" t="s">
        <v>431</v>
      </c>
      <c r="B16" s="911" t="s">
        <v>454</v>
      </c>
      <c r="C16" s="911" t="s">
        <v>307</v>
      </c>
      <c r="D16" s="911" t="s">
        <v>98</v>
      </c>
      <c r="E16" s="911"/>
      <c r="F16" s="911"/>
      <c r="G16" s="911"/>
      <c r="H16" s="911"/>
      <c r="I16" s="911"/>
      <c r="J16" s="911"/>
      <c r="K16" s="911"/>
      <c r="L16" s="911"/>
      <c r="M16" s="911"/>
      <c r="N16" s="914" t="s">
        <v>309</v>
      </c>
      <c r="O16" s="917" t="s">
        <v>310</v>
      </c>
      <c r="P16" s="918"/>
      <c r="Q16" s="918"/>
      <c r="R16" s="919"/>
      <c r="S16" s="917" t="s">
        <v>268</v>
      </c>
      <c r="T16" s="919"/>
      <c r="U16" s="920" t="s">
        <v>269</v>
      </c>
    </row>
    <row r="17" spans="1:21" ht="31.5" customHeight="1" x14ac:dyDescent="0.25">
      <c r="A17" s="909"/>
      <c r="B17" s="912"/>
      <c r="C17" s="912"/>
      <c r="D17" s="912" t="s">
        <v>434</v>
      </c>
      <c r="E17" s="912"/>
      <c r="F17" s="912" t="s">
        <v>435</v>
      </c>
      <c r="G17" s="912"/>
      <c r="H17" s="912" t="s">
        <v>436</v>
      </c>
      <c r="I17" s="912"/>
      <c r="J17" s="912" t="s">
        <v>437</v>
      </c>
      <c r="K17" s="912"/>
      <c r="L17" s="912" t="s">
        <v>438</v>
      </c>
      <c r="M17" s="912"/>
      <c r="N17" s="915"/>
      <c r="O17" s="912" t="s">
        <v>477</v>
      </c>
      <c r="P17" s="912" t="s">
        <v>535</v>
      </c>
      <c r="Q17" s="912" t="s">
        <v>533</v>
      </c>
      <c r="R17" s="912"/>
      <c r="S17" s="923" t="s">
        <v>472</v>
      </c>
      <c r="T17" s="924"/>
      <c r="U17" s="921"/>
    </row>
    <row r="18" spans="1:21" ht="81.75" customHeight="1" thickBot="1" x14ac:dyDescent="0.3">
      <c r="A18" s="910"/>
      <c r="B18" s="913"/>
      <c r="C18" s="913"/>
      <c r="D18" s="99" t="s">
        <v>301</v>
      </c>
      <c r="E18" s="99" t="s">
        <v>308</v>
      </c>
      <c r="F18" s="99" t="s">
        <v>439</v>
      </c>
      <c r="G18" s="99" t="s">
        <v>270</v>
      </c>
      <c r="H18" s="99" t="s">
        <v>439</v>
      </c>
      <c r="I18" s="99" t="s">
        <v>270</v>
      </c>
      <c r="J18" s="99" t="s">
        <v>439</v>
      </c>
      <c r="K18" s="99" t="s">
        <v>270</v>
      </c>
      <c r="L18" s="99" t="s">
        <v>439</v>
      </c>
      <c r="M18" s="99" t="s">
        <v>270</v>
      </c>
      <c r="N18" s="916"/>
      <c r="O18" s="913"/>
      <c r="P18" s="913"/>
      <c r="Q18" s="99" t="s">
        <v>532</v>
      </c>
      <c r="R18" s="99" t="s">
        <v>534</v>
      </c>
      <c r="S18" s="287" t="s">
        <v>311</v>
      </c>
      <c r="T18" s="287" t="s">
        <v>271</v>
      </c>
      <c r="U18" s="922"/>
    </row>
    <row r="19" spans="1:21" x14ac:dyDescent="0.25">
      <c r="A19" s="85"/>
      <c r="B19" s="86" t="s">
        <v>455</v>
      </c>
      <c r="C19" s="86"/>
      <c r="D19" s="86"/>
      <c r="E19" s="92"/>
      <c r="F19" s="86"/>
      <c r="G19" s="86"/>
      <c r="H19" s="92"/>
      <c r="I19" s="92"/>
      <c r="J19" s="86"/>
      <c r="K19" s="86"/>
      <c r="L19" s="92"/>
      <c r="M19" s="92"/>
      <c r="N19" s="92"/>
      <c r="O19" s="92"/>
      <c r="P19" s="92"/>
      <c r="Q19" s="92"/>
      <c r="R19" s="92"/>
      <c r="S19" s="288"/>
      <c r="T19" s="288"/>
      <c r="U19" s="93"/>
    </row>
    <row r="20" spans="1:21" ht="31.5" x14ac:dyDescent="0.25">
      <c r="A20" s="27" t="s">
        <v>417</v>
      </c>
      <c r="B20" s="26" t="s">
        <v>540</v>
      </c>
      <c r="C20" s="26"/>
      <c r="D20" s="26"/>
      <c r="E20" s="26"/>
      <c r="F20" s="26"/>
      <c r="G20" s="26"/>
      <c r="H20" s="26"/>
      <c r="I20" s="26"/>
      <c r="J20" s="26"/>
      <c r="K20" s="26"/>
      <c r="L20" s="6"/>
      <c r="M20" s="6"/>
      <c r="N20" s="6"/>
      <c r="O20" s="6"/>
      <c r="P20" s="6"/>
      <c r="Q20" s="6"/>
      <c r="R20" s="6"/>
      <c r="S20" s="41"/>
      <c r="T20" s="41"/>
      <c r="U20" s="7"/>
    </row>
    <row r="21" spans="1:21" ht="31.5" x14ac:dyDescent="0.25">
      <c r="A21" s="113" t="s">
        <v>418</v>
      </c>
      <c r="B21" s="26" t="s">
        <v>537</v>
      </c>
      <c r="C21" s="26"/>
      <c r="D21" s="26"/>
      <c r="E21" s="26"/>
      <c r="F21" s="26"/>
      <c r="G21" s="26"/>
      <c r="H21" s="26"/>
      <c r="I21" s="26"/>
      <c r="J21" s="26"/>
      <c r="K21" s="26"/>
      <c r="L21" s="6"/>
      <c r="M21" s="6"/>
      <c r="N21" s="6"/>
      <c r="O21" s="6"/>
      <c r="P21" s="6"/>
      <c r="Q21" s="6"/>
      <c r="R21" s="6"/>
      <c r="S21" s="41"/>
      <c r="T21" s="41"/>
      <c r="U21" s="7"/>
    </row>
    <row r="22" spans="1:21" x14ac:dyDescent="0.25">
      <c r="A22" s="18">
        <v>1</v>
      </c>
      <c r="B22" s="5" t="s">
        <v>456</v>
      </c>
      <c r="C22" s="5"/>
      <c r="D22" s="5"/>
      <c r="E22" s="6"/>
      <c r="F22" s="5"/>
      <c r="G22" s="6"/>
      <c r="H22" s="5"/>
      <c r="I22" s="6"/>
      <c r="J22" s="5"/>
      <c r="K22" s="6"/>
      <c r="L22" s="6"/>
      <c r="M22" s="6"/>
      <c r="N22" s="6"/>
      <c r="O22" s="6"/>
      <c r="P22" s="6"/>
      <c r="Q22" s="6"/>
      <c r="R22" s="6"/>
      <c r="S22" s="41"/>
      <c r="T22" s="41"/>
      <c r="U22" s="7"/>
    </row>
    <row r="23" spans="1:21" x14ac:dyDescent="0.25">
      <c r="A23" s="18">
        <v>2</v>
      </c>
      <c r="B23" s="5" t="s">
        <v>458</v>
      </c>
      <c r="C23" s="5"/>
      <c r="D23" s="5"/>
      <c r="E23" s="6"/>
      <c r="F23" s="5"/>
      <c r="G23" s="6"/>
      <c r="H23" s="5"/>
      <c r="I23" s="6"/>
      <c r="J23" s="5"/>
      <c r="K23" s="6"/>
      <c r="L23" s="6"/>
      <c r="M23" s="6"/>
      <c r="N23" s="6"/>
      <c r="O23" s="6"/>
      <c r="P23" s="6"/>
      <c r="Q23" s="6"/>
      <c r="R23" s="6"/>
      <c r="S23" s="41"/>
      <c r="T23" s="41"/>
      <c r="U23" s="7"/>
    </row>
    <row r="24" spans="1:21" x14ac:dyDescent="0.25">
      <c r="A24" s="94" t="s">
        <v>457</v>
      </c>
      <c r="B24" s="12"/>
      <c r="C24" s="12"/>
      <c r="D24" s="12"/>
      <c r="E24" s="95"/>
      <c r="F24" s="12"/>
      <c r="G24" s="95"/>
      <c r="H24" s="12"/>
      <c r="I24" s="95"/>
      <c r="J24" s="12"/>
      <c r="K24" s="95"/>
      <c r="L24" s="95"/>
      <c r="M24" s="95"/>
      <c r="N24" s="95"/>
      <c r="O24" s="95"/>
      <c r="P24" s="95"/>
      <c r="Q24" s="95"/>
      <c r="R24" s="95"/>
      <c r="S24" s="289"/>
      <c r="T24" s="289"/>
      <c r="U24" s="96"/>
    </row>
    <row r="25" spans="1:21" ht="31.5" x14ac:dyDescent="0.25">
      <c r="A25" s="98" t="s">
        <v>419</v>
      </c>
      <c r="B25" s="97" t="s">
        <v>73</v>
      </c>
      <c r="C25" s="97"/>
      <c r="D25" s="12"/>
      <c r="E25" s="95"/>
      <c r="F25" s="12"/>
      <c r="G25" s="95"/>
      <c r="H25" s="12"/>
      <c r="I25" s="95"/>
      <c r="J25" s="12"/>
      <c r="K25" s="95"/>
      <c r="L25" s="95"/>
      <c r="M25" s="95"/>
      <c r="N25" s="95"/>
      <c r="O25" s="95"/>
      <c r="P25" s="95"/>
      <c r="Q25" s="95"/>
      <c r="R25" s="95"/>
      <c r="S25" s="289"/>
      <c r="T25" s="289"/>
      <c r="U25" s="96"/>
    </row>
    <row r="26" spans="1:21" x14ac:dyDescent="0.25">
      <c r="A26" s="18">
        <v>1</v>
      </c>
      <c r="B26" s="5" t="s">
        <v>456</v>
      </c>
      <c r="C26" s="12"/>
      <c r="D26" s="12"/>
      <c r="E26" s="95"/>
      <c r="F26" s="12"/>
      <c r="G26" s="95"/>
      <c r="H26" s="12"/>
      <c r="I26" s="95"/>
      <c r="J26" s="12"/>
      <c r="K26" s="95"/>
      <c r="L26" s="95"/>
      <c r="M26" s="95"/>
      <c r="N26" s="95"/>
      <c r="O26" s="95"/>
      <c r="P26" s="95"/>
      <c r="Q26" s="95"/>
      <c r="R26" s="95"/>
      <c r="S26" s="289"/>
      <c r="T26" s="289"/>
      <c r="U26" s="96"/>
    </row>
    <row r="27" spans="1:21" x14ac:dyDescent="0.25">
      <c r="A27" s="18">
        <v>2</v>
      </c>
      <c r="B27" s="5" t="s">
        <v>458</v>
      </c>
      <c r="C27" s="12"/>
      <c r="D27" s="12"/>
      <c r="E27" s="95"/>
      <c r="F27" s="12"/>
      <c r="G27" s="95"/>
      <c r="H27" s="12"/>
      <c r="I27" s="95"/>
      <c r="J27" s="12"/>
      <c r="K27" s="95"/>
      <c r="L27" s="95"/>
      <c r="M27" s="95"/>
      <c r="N27" s="95"/>
      <c r="O27" s="95"/>
      <c r="P27" s="95"/>
      <c r="Q27" s="95"/>
      <c r="R27" s="95"/>
      <c r="S27" s="289"/>
      <c r="T27" s="289"/>
      <c r="U27" s="96"/>
    </row>
    <row r="28" spans="1:21" x14ac:dyDescent="0.25">
      <c r="A28" s="94" t="s">
        <v>457</v>
      </c>
      <c r="B28" s="12"/>
      <c r="C28" s="12"/>
      <c r="D28" s="12"/>
      <c r="E28" s="95"/>
      <c r="F28" s="12"/>
      <c r="G28" s="95"/>
      <c r="H28" s="12"/>
      <c r="I28" s="95"/>
      <c r="J28" s="12"/>
      <c r="K28" s="95"/>
      <c r="L28" s="95"/>
      <c r="M28" s="95"/>
      <c r="N28" s="95"/>
      <c r="O28" s="95"/>
      <c r="P28" s="95"/>
      <c r="Q28" s="95"/>
      <c r="R28" s="95"/>
      <c r="S28" s="289"/>
      <c r="T28" s="289"/>
      <c r="U28" s="96"/>
    </row>
    <row r="29" spans="1:21" ht="31.5" x14ac:dyDescent="0.25">
      <c r="A29" s="98" t="s">
        <v>430</v>
      </c>
      <c r="B29" s="97" t="s">
        <v>538</v>
      </c>
      <c r="C29" s="97"/>
      <c r="D29" s="12"/>
      <c r="E29" s="95"/>
      <c r="F29" s="12"/>
      <c r="G29" s="95"/>
      <c r="H29" s="12"/>
      <c r="I29" s="95"/>
      <c r="J29" s="12"/>
      <c r="K29" s="95"/>
      <c r="L29" s="95"/>
      <c r="M29" s="95"/>
      <c r="N29" s="95"/>
      <c r="O29" s="95"/>
      <c r="P29" s="95"/>
      <c r="Q29" s="95"/>
      <c r="R29" s="95"/>
      <c r="S29" s="289"/>
      <c r="T29" s="289"/>
      <c r="U29" s="96"/>
    </row>
    <row r="30" spans="1:21" x14ac:dyDescent="0.25">
      <c r="A30" s="94">
        <v>1</v>
      </c>
      <c r="B30" s="12" t="s">
        <v>456</v>
      </c>
      <c r="C30" s="12"/>
      <c r="D30" s="12"/>
      <c r="E30" s="95"/>
      <c r="F30" s="12"/>
      <c r="G30" s="95"/>
      <c r="H30" s="12"/>
      <c r="I30" s="95"/>
      <c r="J30" s="12"/>
      <c r="K30" s="95"/>
      <c r="L30" s="95"/>
      <c r="M30" s="95"/>
      <c r="N30" s="95"/>
      <c r="O30" s="95"/>
      <c r="P30" s="95"/>
      <c r="Q30" s="95"/>
      <c r="R30" s="95"/>
      <c r="S30" s="289"/>
      <c r="T30" s="289"/>
      <c r="U30" s="96"/>
    </row>
    <row r="31" spans="1:21" x14ac:dyDescent="0.25">
      <c r="A31" s="94">
        <v>2</v>
      </c>
      <c r="B31" s="12" t="s">
        <v>458</v>
      </c>
      <c r="C31" s="12"/>
      <c r="D31" s="12"/>
      <c r="E31" s="95"/>
      <c r="F31" s="12"/>
      <c r="G31" s="95"/>
      <c r="H31" s="12"/>
      <c r="I31" s="95"/>
      <c r="J31" s="12"/>
      <c r="K31" s="95"/>
      <c r="L31" s="95"/>
      <c r="M31" s="95"/>
      <c r="N31" s="95"/>
      <c r="O31" s="95"/>
      <c r="P31" s="95"/>
      <c r="Q31" s="95"/>
      <c r="R31" s="95"/>
      <c r="S31" s="289"/>
      <c r="T31" s="289"/>
      <c r="U31" s="96"/>
    </row>
    <row r="32" spans="1:21" x14ac:dyDescent="0.25">
      <c r="A32" s="94" t="s">
        <v>457</v>
      </c>
      <c r="B32" s="12"/>
      <c r="C32" s="12"/>
      <c r="D32" s="12"/>
      <c r="E32" s="95"/>
      <c r="F32" s="12"/>
      <c r="G32" s="95"/>
      <c r="H32" s="12"/>
      <c r="I32" s="95"/>
      <c r="J32" s="12"/>
      <c r="K32" s="95"/>
      <c r="L32" s="95"/>
      <c r="M32" s="95"/>
      <c r="N32" s="95"/>
      <c r="O32" s="95"/>
      <c r="P32" s="95"/>
      <c r="Q32" s="95"/>
      <c r="R32" s="95"/>
      <c r="S32" s="289"/>
      <c r="T32" s="289"/>
      <c r="U32" s="96"/>
    </row>
    <row r="33" spans="1:21" ht="47.25" x14ac:dyDescent="0.25">
      <c r="A33" s="98" t="s">
        <v>447</v>
      </c>
      <c r="B33" s="97" t="s">
        <v>539</v>
      </c>
      <c r="C33" s="12"/>
      <c r="D33" s="12"/>
      <c r="E33" s="95"/>
      <c r="F33" s="12"/>
      <c r="G33" s="95"/>
      <c r="H33" s="12"/>
      <c r="I33" s="95"/>
      <c r="J33" s="12"/>
      <c r="K33" s="95"/>
      <c r="L33" s="95"/>
      <c r="M33" s="95"/>
      <c r="N33" s="95"/>
      <c r="O33" s="95"/>
      <c r="P33" s="95"/>
      <c r="Q33" s="95"/>
      <c r="R33" s="95"/>
      <c r="S33" s="289"/>
      <c r="T33" s="289"/>
      <c r="U33" s="96"/>
    </row>
    <row r="34" spans="1:21" x14ac:dyDescent="0.25">
      <c r="A34" s="94">
        <v>1</v>
      </c>
      <c r="B34" s="12" t="s">
        <v>456</v>
      </c>
      <c r="C34" s="12"/>
      <c r="D34" s="12"/>
      <c r="E34" s="95"/>
      <c r="F34" s="12"/>
      <c r="G34" s="95"/>
      <c r="H34" s="12"/>
      <c r="I34" s="95"/>
      <c r="J34" s="12"/>
      <c r="K34" s="95"/>
      <c r="L34" s="95"/>
      <c r="M34" s="95"/>
      <c r="N34" s="95"/>
      <c r="O34" s="95"/>
      <c r="P34" s="95"/>
      <c r="Q34" s="95"/>
      <c r="R34" s="95"/>
      <c r="S34" s="289"/>
      <c r="T34" s="289"/>
      <c r="U34" s="96"/>
    </row>
    <row r="35" spans="1:21" x14ac:dyDescent="0.25">
      <c r="A35" s="94">
        <v>2</v>
      </c>
      <c r="B35" s="12" t="s">
        <v>458</v>
      </c>
      <c r="C35" s="12"/>
      <c r="D35" s="12"/>
      <c r="E35" s="95"/>
      <c r="F35" s="12"/>
      <c r="G35" s="95"/>
      <c r="H35" s="12"/>
      <c r="I35" s="95"/>
      <c r="J35" s="12"/>
      <c r="K35" s="95"/>
      <c r="L35" s="95"/>
      <c r="M35" s="95"/>
      <c r="N35" s="95"/>
      <c r="O35" s="95"/>
      <c r="P35" s="95"/>
      <c r="Q35" s="95"/>
      <c r="R35" s="95"/>
      <c r="S35" s="289"/>
      <c r="T35" s="289"/>
      <c r="U35" s="96"/>
    </row>
    <row r="36" spans="1:21" x14ac:dyDescent="0.25">
      <c r="A36" s="94" t="s">
        <v>457</v>
      </c>
      <c r="B36" s="12"/>
      <c r="C36" s="12"/>
      <c r="D36" s="12"/>
      <c r="E36" s="95"/>
      <c r="F36" s="12"/>
      <c r="G36" s="95"/>
      <c r="H36" s="12"/>
      <c r="I36" s="95"/>
      <c r="J36" s="12"/>
      <c r="K36" s="95"/>
      <c r="L36" s="95"/>
      <c r="M36" s="95"/>
      <c r="N36" s="95"/>
      <c r="O36" s="95"/>
      <c r="P36" s="95"/>
      <c r="Q36" s="95"/>
      <c r="R36" s="95"/>
      <c r="S36" s="289"/>
      <c r="T36" s="289"/>
      <c r="U36" s="96"/>
    </row>
    <row r="37" spans="1:21" x14ac:dyDescent="0.25">
      <c r="A37" s="27" t="s">
        <v>420</v>
      </c>
      <c r="B37" s="26" t="s">
        <v>469</v>
      </c>
      <c r="C37" s="26"/>
      <c r="D37" s="26"/>
      <c r="E37" s="26"/>
      <c r="F37" s="26"/>
      <c r="G37" s="26"/>
      <c r="H37" s="26"/>
      <c r="I37" s="26"/>
      <c r="J37" s="26"/>
      <c r="K37" s="26"/>
      <c r="L37" s="6"/>
      <c r="M37" s="6"/>
      <c r="N37" s="6"/>
      <c r="O37" s="6"/>
      <c r="P37" s="6"/>
      <c r="Q37" s="6"/>
      <c r="R37" s="6"/>
      <c r="S37" s="41"/>
      <c r="T37" s="41"/>
      <c r="U37" s="7"/>
    </row>
    <row r="38" spans="1:21" ht="31.5" x14ac:dyDescent="0.25">
      <c r="A38" s="113" t="s">
        <v>421</v>
      </c>
      <c r="B38" s="26" t="s">
        <v>537</v>
      </c>
      <c r="C38" s="26"/>
      <c r="D38" s="26"/>
      <c r="E38" s="26"/>
      <c r="F38" s="26"/>
      <c r="G38" s="26"/>
      <c r="H38" s="26"/>
      <c r="I38" s="26"/>
      <c r="J38" s="26"/>
      <c r="K38" s="26"/>
      <c r="L38" s="6"/>
      <c r="M38" s="6"/>
      <c r="N38" s="6"/>
      <c r="O38" s="6"/>
      <c r="P38" s="6"/>
      <c r="Q38" s="6"/>
      <c r="R38" s="6"/>
      <c r="S38" s="41"/>
      <c r="T38" s="41"/>
      <c r="U38" s="7"/>
    </row>
    <row r="39" spans="1:21" x14ac:dyDescent="0.25">
      <c r="A39" s="18">
        <v>1</v>
      </c>
      <c r="B39" s="5" t="s">
        <v>456</v>
      </c>
      <c r="C39" s="26"/>
      <c r="D39" s="26"/>
      <c r="E39" s="26"/>
      <c r="F39" s="26"/>
      <c r="G39" s="26"/>
      <c r="H39" s="26"/>
      <c r="I39" s="26"/>
      <c r="J39" s="26"/>
      <c r="K39" s="26"/>
      <c r="L39" s="6"/>
      <c r="M39" s="6"/>
      <c r="N39" s="6"/>
      <c r="O39" s="6"/>
      <c r="P39" s="6"/>
      <c r="Q39" s="6"/>
      <c r="R39" s="6"/>
      <c r="S39" s="41"/>
      <c r="T39" s="41"/>
      <c r="U39" s="7"/>
    </row>
    <row r="40" spans="1:21" x14ac:dyDescent="0.25">
      <c r="A40" s="18">
        <v>2</v>
      </c>
      <c r="B40" s="5" t="s">
        <v>458</v>
      </c>
      <c r="C40" s="26"/>
      <c r="D40" s="26"/>
      <c r="E40" s="26"/>
      <c r="F40" s="26"/>
      <c r="G40" s="26"/>
      <c r="H40" s="26"/>
      <c r="I40" s="26"/>
      <c r="J40" s="26"/>
      <c r="K40" s="26"/>
      <c r="L40" s="6"/>
      <c r="M40" s="6"/>
      <c r="N40" s="6"/>
      <c r="O40" s="6"/>
      <c r="P40" s="6"/>
      <c r="Q40" s="6"/>
      <c r="R40" s="6"/>
      <c r="S40" s="41"/>
      <c r="T40" s="41"/>
      <c r="U40" s="7"/>
    </row>
    <row r="41" spans="1:21" x14ac:dyDescent="0.25">
      <c r="A41" s="94" t="s">
        <v>457</v>
      </c>
      <c r="B41" s="12"/>
      <c r="C41" s="26"/>
      <c r="D41" s="26"/>
      <c r="E41" s="26"/>
      <c r="F41" s="26"/>
      <c r="G41" s="26"/>
      <c r="H41" s="26"/>
      <c r="I41" s="26"/>
      <c r="J41" s="26"/>
      <c r="K41" s="26"/>
      <c r="L41" s="6"/>
      <c r="M41" s="6"/>
      <c r="N41" s="6"/>
      <c r="O41" s="6"/>
      <c r="P41" s="6"/>
      <c r="Q41" s="6"/>
      <c r="R41" s="6"/>
      <c r="S41" s="41"/>
      <c r="T41" s="41"/>
      <c r="U41" s="7"/>
    </row>
    <row r="42" spans="1:21" x14ac:dyDescent="0.25">
      <c r="A42" s="196" t="s">
        <v>422</v>
      </c>
      <c r="B42" s="197" t="s">
        <v>97</v>
      </c>
      <c r="C42" s="26"/>
      <c r="D42" s="26"/>
      <c r="E42" s="26"/>
      <c r="F42" s="26"/>
      <c r="G42" s="26"/>
      <c r="H42" s="26"/>
      <c r="I42" s="26"/>
      <c r="J42" s="26"/>
      <c r="K42" s="26"/>
      <c r="L42" s="6"/>
      <c r="M42" s="6"/>
      <c r="N42" s="6"/>
      <c r="O42" s="6"/>
      <c r="P42" s="6"/>
      <c r="Q42" s="6"/>
      <c r="R42" s="6"/>
      <c r="S42" s="41"/>
      <c r="T42" s="41"/>
      <c r="U42" s="7"/>
    </row>
    <row r="43" spans="1:21" x14ac:dyDescent="0.25">
      <c r="A43" s="18">
        <v>1</v>
      </c>
      <c r="B43" s="5" t="s">
        <v>456</v>
      </c>
      <c r="C43" s="26"/>
      <c r="D43" s="26"/>
      <c r="E43" s="26"/>
      <c r="F43" s="26"/>
      <c r="G43" s="26"/>
      <c r="H43" s="26"/>
      <c r="I43" s="26"/>
      <c r="J43" s="26"/>
      <c r="K43" s="26"/>
      <c r="L43" s="6"/>
      <c r="M43" s="6"/>
      <c r="N43" s="6"/>
      <c r="O43" s="6"/>
      <c r="P43" s="6"/>
      <c r="Q43" s="6"/>
      <c r="R43" s="6"/>
      <c r="S43" s="41"/>
      <c r="T43" s="41"/>
      <c r="U43" s="7"/>
    </row>
    <row r="44" spans="1:21" x14ac:dyDescent="0.25">
      <c r="A44" s="18"/>
      <c r="B44" s="5" t="s">
        <v>548</v>
      </c>
      <c r="C44" s="26"/>
      <c r="D44" s="26"/>
      <c r="E44" s="26"/>
      <c r="F44" s="26"/>
      <c r="G44" s="26"/>
      <c r="H44" s="26"/>
      <c r="I44" s="26"/>
      <c r="J44" s="26"/>
      <c r="K44" s="26"/>
      <c r="L44" s="6"/>
      <c r="M44" s="6"/>
      <c r="N44" s="6"/>
      <c r="O44" s="6"/>
      <c r="P44" s="6"/>
      <c r="Q44" s="6"/>
      <c r="R44" s="6"/>
      <c r="S44" s="41"/>
      <c r="T44" s="41"/>
      <c r="U44" s="7"/>
    </row>
    <row r="45" spans="1:21" x14ac:dyDescent="0.25">
      <c r="A45" s="18">
        <v>2</v>
      </c>
      <c r="B45" s="5" t="s">
        <v>458</v>
      </c>
      <c r="C45" s="26"/>
      <c r="D45" s="26"/>
      <c r="E45" s="26"/>
      <c r="F45" s="26"/>
      <c r="G45" s="26"/>
      <c r="H45" s="26"/>
      <c r="I45" s="26"/>
      <c r="J45" s="26"/>
      <c r="K45" s="26"/>
      <c r="L45" s="6"/>
      <c r="M45" s="6"/>
      <c r="N45" s="6"/>
      <c r="O45" s="6"/>
      <c r="P45" s="6"/>
      <c r="Q45" s="6"/>
      <c r="R45" s="6"/>
      <c r="S45" s="41"/>
      <c r="T45" s="41"/>
      <c r="U45" s="7"/>
    </row>
    <row r="46" spans="1:21" x14ac:dyDescent="0.25">
      <c r="A46" s="18"/>
      <c r="B46" s="5" t="s">
        <v>548</v>
      </c>
      <c r="C46" s="5"/>
      <c r="D46" s="5"/>
      <c r="E46" s="6"/>
      <c r="F46" s="5"/>
      <c r="G46" s="6"/>
      <c r="H46" s="5"/>
      <c r="I46" s="6"/>
      <c r="J46" s="5"/>
      <c r="K46" s="6"/>
      <c r="L46" s="6"/>
      <c r="M46" s="6"/>
      <c r="N46" s="6"/>
      <c r="O46" s="6"/>
      <c r="P46" s="6"/>
      <c r="Q46" s="6"/>
      <c r="R46" s="6"/>
      <c r="S46" s="41"/>
      <c r="T46" s="41"/>
      <c r="U46" s="7"/>
    </row>
    <row r="47" spans="1:21" x14ac:dyDescent="0.25">
      <c r="A47" s="18" t="s">
        <v>457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41"/>
      <c r="T47" s="41"/>
      <c r="U47" s="7"/>
    </row>
    <row r="48" spans="1:21" x14ac:dyDescent="0.25">
      <c r="A48" s="926" t="s">
        <v>515</v>
      </c>
      <c r="B48" s="927"/>
      <c r="C48" s="12"/>
      <c r="D48" s="12"/>
      <c r="E48" s="95"/>
      <c r="F48" s="12"/>
      <c r="G48" s="95"/>
      <c r="H48" s="12"/>
      <c r="I48" s="95"/>
      <c r="J48" s="12"/>
      <c r="K48" s="95"/>
      <c r="L48" s="95"/>
      <c r="M48" s="95"/>
      <c r="N48" s="95"/>
      <c r="O48" s="95"/>
      <c r="P48" s="95"/>
      <c r="Q48" s="95"/>
      <c r="R48" s="95"/>
      <c r="S48" s="289"/>
      <c r="T48" s="289"/>
      <c r="U48" s="96"/>
    </row>
    <row r="49" spans="1:21" ht="31.5" x14ac:dyDescent="0.25">
      <c r="A49" s="98"/>
      <c r="B49" s="97" t="s">
        <v>536</v>
      </c>
      <c r="C49" s="97"/>
      <c r="D49" s="12"/>
      <c r="E49" s="95"/>
      <c r="F49" s="12"/>
      <c r="G49" s="95"/>
      <c r="H49" s="12"/>
      <c r="I49" s="95"/>
      <c r="J49" s="12"/>
      <c r="K49" s="95"/>
      <c r="L49" s="95"/>
      <c r="M49" s="95"/>
      <c r="N49" s="95"/>
      <c r="O49" s="95"/>
      <c r="P49" s="95"/>
      <c r="Q49" s="95"/>
      <c r="R49" s="95"/>
      <c r="S49" s="289"/>
      <c r="T49" s="289"/>
      <c r="U49" s="96"/>
    </row>
    <row r="50" spans="1:21" x14ac:dyDescent="0.25">
      <c r="A50" s="94">
        <v>1</v>
      </c>
      <c r="B50" s="12" t="s">
        <v>456</v>
      </c>
      <c r="C50" s="12"/>
      <c r="D50" s="12"/>
      <c r="E50" s="95"/>
      <c r="F50" s="12"/>
      <c r="G50" s="95"/>
      <c r="H50" s="12"/>
      <c r="I50" s="95"/>
      <c r="J50" s="12"/>
      <c r="K50" s="95"/>
      <c r="L50" s="95"/>
      <c r="M50" s="95"/>
      <c r="N50" s="95"/>
      <c r="O50" s="95"/>
      <c r="P50" s="95"/>
      <c r="Q50" s="95"/>
      <c r="R50" s="95"/>
      <c r="S50" s="289"/>
      <c r="T50" s="289"/>
      <c r="U50" s="96"/>
    </row>
    <row r="51" spans="1:21" x14ac:dyDescent="0.25">
      <c r="A51" s="94">
        <v>2</v>
      </c>
      <c r="B51" s="12" t="s">
        <v>458</v>
      </c>
      <c r="C51" s="12"/>
      <c r="D51" s="12"/>
      <c r="E51" s="95"/>
      <c r="F51" s="12"/>
      <c r="G51" s="95"/>
      <c r="H51" s="12"/>
      <c r="I51" s="95"/>
      <c r="J51" s="12"/>
      <c r="K51" s="95"/>
      <c r="L51" s="95"/>
      <c r="M51" s="95"/>
      <c r="N51" s="95"/>
      <c r="O51" s="95"/>
      <c r="P51" s="95"/>
      <c r="Q51" s="95"/>
      <c r="R51" s="95"/>
      <c r="S51" s="289"/>
      <c r="T51" s="289"/>
      <c r="U51" s="96"/>
    </row>
    <row r="52" spans="1:21" ht="16.5" thickBot="1" x14ac:dyDescent="0.3">
      <c r="A52" s="89" t="s">
        <v>457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290"/>
      <c r="T52" s="290"/>
      <c r="U52" s="91"/>
    </row>
    <row r="53" spans="1:21" x14ac:dyDescent="0.25">
      <c r="A53" s="87"/>
      <c r="B53" s="8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1:21" x14ac:dyDescent="0.25">
      <c r="A54" s="87"/>
      <c r="B54" s="928" t="s">
        <v>306</v>
      </c>
      <c r="C54" s="928"/>
      <c r="D54" s="9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  <row r="55" spans="1:21" x14ac:dyDescent="0.25">
      <c r="A55" s="87"/>
      <c r="B55" s="88" t="s">
        <v>302</v>
      </c>
      <c r="C55" s="40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</row>
    <row r="56" spans="1:21" x14ac:dyDescent="0.25">
      <c r="A56" s="87"/>
      <c r="B56" s="928" t="s">
        <v>303</v>
      </c>
      <c r="C56" s="928"/>
      <c r="D56" s="928"/>
      <c r="E56" s="928"/>
      <c r="F56" s="928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</row>
    <row r="57" spans="1:21" x14ac:dyDescent="0.25">
      <c r="A57" s="28"/>
      <c r="B57" s="1" t="s">
        <v>312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  <row r="58" spans="1:21" x14ac:dyDescent="0.25">
      <c r="A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</row>
    <row r="59" spans="1:21" x14ac:dyDescent="0.25">
      <c r="A59" s="28"/>
      <c r="B59" s="925" t="s">
        <v>102</v>
      </c>
      <c r="C59" s="925"/>
      <c r="D59" s="925"/>
      <c r="E59" s="925"/>
      <c r="F59" s="925"/>
      <c r="G59" s="925"/>
      <c r="H59" s="925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</row>
    <row r="60" spans="1:21" x14ac:dyDescent="0.25">
      <c r="A60" s="28"/>
      <c r="B60" s="13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spans="1:2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1:21" x14ac:dyDescent="0.25">
      <c r="A62" s="14"/>
    </row>
    <row r="63" spans="1:21" x14ac:dyDescent="0.25">
      <c r="A63" s="20"/>
      <c r="C63" s="21"/>
      <c r="G63" s="31"/>
      <c r="H63" s="22"/>
      <c r="I63" s="31"/>
    </row>
    <row r="64" spans="1:21" x14ac:dyDescent="0.25">
      <c r="D64" s="24"/>
      <c r="G64" s="23"/>
      <c r="I64" s="23"/>
      <c r="J64" s="23"/>
      <c r="K64" s="23"/>
      <c r="M64" s="31"/>
      <c r="N64" s="31"/>
      <c r="O64" s="31"/>
      <c r="P64" s="31"/>
      <c r="Q64" s="31"/>
      <c r="R64" s="31"/>
      <c r="S64" s="31"/>
      <c r="T64" s="31"/>
      <c r="U64" s="22"/>
    </row>
    <row r="65" spans="1:9" x14ac:dyDescent="0.25">
      <c r="A65" s="17"/>
      <c r="D65" s="16"/>
      <c r="I65" s="286"/>
    </row>
  </sheetData>
  <mergeCells count="22">
    <mergeCell ref="B59:H59"/>
    <mergeCell ref="F17:G17"/>
    <mergeCell ref="H17:I17"/>
    <mergeCell ref="J17:K17"/>
    <mergeCell ref="D17:E17"/>
    <mergeCell ref="A48:B48"/>
    <mergeCell ref="B56:F56"/>
    <mergeCell ref="B54:D54"/>
    <mergeCell ref="A7:U7"/>
    <mergeCell ref="A16:A18"/>
    <mergeCell ref="B16:B18"/>
    <mergeCell ref="C16:C18"/>
    <mergeCell ref="D16:M16"/>
    <mergeCell ref="N16:N18"/>
    <mergeCell ref="O16:R16"/>
    <mergeCell ref="S16:T16"/>
    <mergeCell ref="L17:M17"/>
    <mergeCell ref="Q17:R17"/>
    <mergeCell ref="O17:O18"/>
    <mergeCell ref="U16:U18"/>
    <mergeCell ref="S17:T17"/>
    <mergeCell ref="P17:P18"/>
  </mergeCells>
  <phoneticPr fontId="0" type="noConversion"/>
  <pageMargins left="0.7" right="0.7" top="0.75" bottom="0.75" header="0.3" footer="0.3"/>
  <pageSetup paperSize="9" scale="4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9"/>
  <sheetViews>
    <sheetView view="pageBreakPreview" zoomScale="110" zoomScaleNormal="100" zoomScaleSheetLayoutView="110" workbookViewId="0">
      <selection activeCell="X12" sqref="X12:AF12"/>
    </sheetView>
  </sheetViews>
  <sheetFormatPr defaultColWidth="0.75" defaultRowHeight="12.75" x14ac:dyDescent="0.2"/>
  <cols>
    <col min="1" max="1" width="2.75" style="537" customWidth="1"/>
    <col min="2" max="2" width="8.625" style="537" customWidth="1"/>
    <col min="3" max="3" width="5.75" style="537" customWidth="1"/>
    <col min="4" max="11" width="3.75" style="537" bestFit="1" customWidth="1"/>
    <col min="12" max="22" width="5.25" style="537" customWidth="1"/>
    <col min="23" max="23" width="5.75" style="537" customWidth="1"/>
    <col min="24" max="32" width="3.75" style="537" bestFit="1" customWidth="1"/>
    <col min="33" max="33" width="5.75" style="537" hidden="1" customWidth="1"/>
    <col min="34" max="34" width="5.375" style="537" hidden="1" customWidth="1"/>
    <col min="35" max="37" width="5.125" style="537" hidden="1" customWidth="1"/>
    <col min="38" max="38" width="5.75" style="537" hidden="1" customWidth="1"/>
    <col min="39" max="42" width="5.5" style="537" hidden="1" customWidth="1"/>
    <col min="43" max="43" width="5.875" style="537" hidden="1" customWidth="1"/>
    <col min="44" max="47" width="5.375" style="537" hidden="1" customWidth="1"/>
    <col min="48" max="48" width="5.125" style="537" hidden="1" customWidth="1"/>
    <col min="49" max="52" width="5.75" style="537" hidden="1" customWidth="1"/>
    <col min="53" max="53" width="4.375" style="537" customWidth="1"/>
    <col min="54" max="54" width="8.625" style="537" customWidth="1"/>
    <col min="55" max="60" width="0.75" style="537" customWidth="1"/>
    <col min="61" max="16384" width="0.75" style="537"/>
  </cols>
  <sheetData>
    <row r="1" spans="1:60" s="594" customFormat="1" ht="10.5" customHeight="1" x14ac:dyDescent="0.2">
      <c r="Z1" s="1243" t="s">
        <v>1299</v>
      </c>
      <c r="AA1" s="1243"/>
      <c r="AB1" s="1243"/>
      <c r="AC1" s="1243"/>
      <c r="AD1" s="1243"/>
      <c r="AE1" s="1243"/>
      <c r="AF1" s="1243"/>
    </row>
    <row r="2" spans="1:60" s="595" customFormat="1" ht="42" customHeight="1" x14ac:dyDescent="0.2">
      <c r="Z2" s="1243"/>
      <c r="AA2" s="1243"/>
      <c r="AB2" s="1243"/>
      <c r="AC2" s="1243"/>
      <c r="AD2" s="1243"/>
      <c r="AE2" s="1243"/>
      <c r="AF2" s="1243"/>
    </row>
    <row r="4" spans="1:60" s="594" customFormat="1" ht="10.5" customHeight="1" x14ac:dyDescent="0.2">
      <c r="Z4" s="1243" t="s">
        <v>1297</v>
      </c>
      <c r="AA4" s="1243"/>
      <c r="AB4" s="1243"/>
      <c r="AC4" s="1243"/>
      <c r="AD4" s="1243"/>
      <c r="AE4" s="1243"/>
      <c r="AF4" s="1243"/>
    </row>
    <row r="5" spans="1:60" s="595" customFormat="1" ht="39.75" customHeight="1" x14ac:dyDescent="0.2">
      <c r="Z5" s="1243"/>
      <c r="AA5" s="1243"/>
      <c r="AB5" s="1243"/>
      <c r="AC5" s="1243"/>
      <c r="AD5" s="1243"/>
      <c r="AE5" s="1243"/>
      <c r="AF5" s="1243"/>
    </row>
    <row r="6" spans="1:60" s="595" customFormat="1" ht="12" x14ac:dyDescent="0.2"/>
    <row r="7" spans="1:60" s="594" customFormat="1" ht="17.45" customHeight="1" x14ac:dyDescent="0.2">
      <c r="A7" s="1030" t="s">
        <v>1153</v>
      </c>
      <c r="B7" s="1030"/>
      <c r="C7" s="1030"/>
      <c r="D7" s="1030"/>
      <c r="E7" s="1030"/>
      <c r="F7" s="1030"/>
      <c r="G7" s="1030"/>
      <c r="H7" s="1030"/>
      <c r="I7" s="1030"/>
      <c r="J7" s="1030"/>
      <c r="K7" s="1030"/>
      <c r="L7" s="1030"/>
      <c r="M7" s="1030"/>
      <c r="N7" s="1030"/>
      <c r="O7" s="1030"/>
      <c r="P7" s="1030"/>
      <c r="Q7" s="1030"/>
      <c r="R7" s="1030"/>
      <c r="S7" s="1030"/>
      <c r="T7" s="1030"/>
      <c r="U7" s="1030"/>
      <c r="V7" s="1030"/>
      <c r="W7" s="1030"/>
      <c r="X7" s="1030"/>
      <c r="Y7" s="1030"/>
      <c r="Z7" s="1030"/>
      <c r="AA7" s="1030"/>
      <c r="AB7" s="1030"/>
      <c r="AC7" s="1030"/>
      <c r="AD7" s="1030"/>
      <c r="AE7" s="1030"/>
      <c r="AF7" s="1030"/>
      <c r="AG7" s="1030"/>
      <c r="AH7" s="1030"/>
      <c r="AI7" s="1030"/>
      <c r="AJ7" s="1030"/>
      <c r="AK7" s="1030"/>
      <c r="AL7" s="1030"/>
      <c r="AM7" s="1030"/>
      <c r="AN7" s="1030"/>
      <c r="AO7" s="1030"/>
      <c r="AP7" s="1030"/>
      <c r="AQ7" s="1030"/>
      <c r="AR7" s="1030"/>
      <c r="AS7" s="1030"/>
      <c r="AT7" s="1030"/>
      <c r="AU7" s="1030"/>
      <c r="AV7" s="1030"/>
    </row>
    <row r="8" spans="1:60" ht="15" customHeight="1" x14ac:dyDescent="0.2">
      <c r="A8" s="934" t="s">
        <v>1154</v>
      </c>
      <c r="B8" s="934"/>
      <c r="C8" s="934"/>
      <c r="D8" s="934"/>
      <c r="E8" s="934"/>
      <c r="F8" s="934"/>
      <c r="G8" s="934"/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4"/>
      <c r="S8" s="934"/>
      <c r="T8" s="934"/>
      <c r="U8" s="934"/>
      <c r="V8" s="934"/>
      <c r="W8" s="934"/>
      <c r="X8" s="934"/>
      <c r="Y8" s="934"/>
      <c r="Z8" s="934"/>
      <c r="AA8" s="934"/>
      <c r="AB8" s="934"/>
      <c r="AC8" s="934"/>
      <c r="AD8" s="934"/>
      <c r="AE8" s="934"/>
      <c r="AF8" s="934"/>
      <c r="AG8" s="934"/>
      <c r="AH8" s="934"/>
      <c r="AI8" s="934"/>
      <c r="AJ8" s="934"/>
      <c r="AK8" s="934"/>
      <c r="AL8" s="934"/>
      <c r="AM8" s="934"/>
      <c r="AN8" s="934"/>
      <c r="AO8" s="934"/>
      <c r="AP8" s="934"/>
      <c r="AQ8" s="934"/>
      <c r="AR8" s="934"/>
      <c r="AS8" s="934"/>
      <c r="AT8" s="934"/>
      <c r="AU8" s="934"/>
      <c r="AV8" s="934"/>
      <c r="AW8" s="934"/>
      <c r="AX8" s="825"/>
      <c r="AY8" s="825"/>
      <c r="AZ8" s="825"/>
      <c r="BA8" s="854"/>
    </row>
    <row r="9" spans="1:60" s="595" customFormat="1" ht="13.5" thickBot="1" x14ac:dyDescent="0.25">
      <c r="A9" s="709" t="s">
        <v>849</v>
      </c>
    </row>
    <row r="10" spans="1:60" s="781" customFormat="1" ht="13.5" customHeight="1" thickBot="1" x14ac:dyDescent="0.25">
      <c r="A10" s="1031" t="s">
        <v>702</v>
      </c>
      <c r="B10" s="1033" t="s">
        <v>454</v>
      </c>
      <c r="C10" s="1036" t="s">
        <v>1056</v>
      </c>
      <c r="D10" s="1037"/>
      <c r="E10" s="1037"/>
      <c r="F10" s="1037"/>
      <c r="G10" s="1037"/>
      <c r="H10" s="1037"/>
      <c r="I10" s="1037"/>
      <c r="J10" s="1037"/>
      <c r="K10" s="1037"/>
      <c r="L10" s="1037"/>
      <c r="M10" s="1037"/>
      <c r="N10" s="1037"/>
      <c r="O10" s="1037"/>
      <c r="P10" s="1037"/>
      <c r="Q10" s="1037"/>
      <c r="R10" s="1037"/>
      <c r="S10" s="1037"/>
      <c r="T10" s="831"/>
      <c r="U10" s="831"/>
      <c r="V10" s="832"/>
      <c r="W10" s="1038"/>
      <c r="X10" s="1038"/>
      <c r="Y10" s="1038"/>
      <c r="Z10" s="1038"/>
      <c r="AA10" s="1038"/>
      <c r="AB10" s="1038"/>
      <c r="AC10" s="1038"/>
      <c r="AD10" s="1038"/>
      <c r="AE10" s="1038"/>
      <c r="AF10" s="1038"/>
      <c r="AG10" s="1038"/>
      <c r="AH10" s="1038"/>
      <c r="AI10" s="1038"/>
      <c r="AJ10" s="1038"/>
      <c r="AK10" s="1038"/>
      <c r="AL10" s="1038"/>
      <c r="AM10" s="1038"/>
      <c r="AN10" s="1038"/>
      <c r="AO10" s="1038"/>
      <c r="AP10" s="1038"/>
      <c r="AQ10" s="1038"/>
      <c r="AR10" s="1038"/>
      <c r="AS10" s="1038"/>
      <c r="AT10" s="1038"/>
      <c r="AU10" s="1038"/>
      <c r="AV10" s="1038"/>
      <c r="AW10" s="1038"/>
      <c r="AX10" s="1038"/>
      <c r="AY10" s="1038"/>
      <c r="AZ10" s="1038"/>
      <c r="BA10" s="855"/>
      <c r="BB10" s="798"/>
    </row>
    <row r="11" spans="1:60" s="781" customFormat="1" ht="36.6" customHeight="1" thickBot="1" x14ac:dyDescent="0.25">
      <c r="A11" s="1032"/>
      <c r="B11" s="1034"/>
      <c r="C11" s="1039" t="s">
        <v>1058</v>
      </c>
      <c r="D11" s="1040"/>
      <c r="E11" s="1040"/>
      <c r="F11" s="1040"/>
      <c r="G11" s="1040"/>
      <c r="H11" s="1040"/>
      <c r="I11" s="1040"/>
      <c r="J11" s="1040"/>
      <c r="K11" s="1040"/>
      <c r="L11" s="1040"/>
      <c r="M11" s="1039" t="s">
        <v>1059</v>
      </c>
      <c r="N11" s="1040"/>
      <c r="O11" s="1040"/>
      <c r="P11" s="1040"/>
      <c r="Q11" s="1040"/>
      <c r="R11" s="1040"/>
      <c r="S11" s="1040"/>
      <c r="T11" s="1040"/>
      <c r="U11" s="1040"/>
      <c r="V11" s="1041"/>
      <c r="W11" s="1042"/>
      <c r="X11" s="1042"/>
      <c r="Y11" s="1042"/>
      <c r="Z11" s="1042"/>
      <c r="AA11" s="1042"/>
      <c r="AB11" s="1042"/>
      <c r="AC11" s="1042"/>
      <c r="AD11" s="1042"/>
      <c r="AE11" s="1042"/>
      <c r="AF11" s="1042"/>
      <c r="AG11" s="1042"/>
      <c r="AH11" s="1042"/>
      <c r="AI11" s="1042"/>
      <c r="AJ11" s="1042"/>
      <c r="AK11" s="1042"/>
      <c r="AL11" s="1042"/>
      <c r="AM11" s="1042"/>
      <c r="AN11" s="1042"/>
      <c r="AO11" s="1042"/>
      <c r="AP11" s="1042"/>
      <c r="AQ11" s="1042"/>
      <c r="AR11" s="1042"/>
      <c r="AS11" s="1042"/>
      <c r="AT11" s="1042"/>
      <c r="AU11" s="1042"/>
      <c r="AV11" s="1042"/>
      <c r="AW11" s="1042"/>
      <c r="AX11" s="1042"/>
      <c r="AY11" s="1042"/>
      <c r="AZ11" s="1042"/>
      <c r="BA11" s="856"/>
      <c r="BB11" s="1045"/>
      <c r="BC11" s="1046"/>
      <c r="BD11" s="1046"/>
      <c r="BE11" s="1046"/>
      <c r="BF11" s="1046"/>
      <c r="BG11" s="1046"/>
      <c r="BH11" s="1046"/>
    </row>
    <row r="12" spans="1:60" s="782" customFormat="1" ht="13.5" customHeight="1" thickBot="1" x14ac:dyDescent="0.25">
      <c r="A12" s="1032"/>
      <c r="B12" s="1034"/>
      <c r="C12" s="1032" t="s">
        <v>1158</v>
      </c>
      <c r="D12" s="1036" t="s">
        <v>1159</v>
      </c>
      <c r="E12" s="1037"/>
      <c r="F12" s="1037"/>
      <c r="G12" s="1037"/>
      <c r="H12" s="1037"/>
      <c r="I12" s="1037"/>
      <c r="J12" s="1037"/>
      <c r="K12" s="1037"/>
      <c r="L12" s="1047"/>
      <c r="M12" s="1048" t="s">
        <v>1158</v>
      </c>
      <c r="N12" s="1036" t="s">
        <v>1159</v>
      </c>
      <c r="O12" s="1037"/>
      <c r="P12" s="1037"/>
      <c r="Q12" s="1037"/>
      <c r="R12" s="1037"/>
      <c r="S12" s="1037"/>
      <c r="T12" s="1037"/>
      <c r="U12" s="1037"/>
      <c r="V12" s="1047"/>
      <c r="W12" s="1050"/>
      <c r="X12" s="1038"/>
      <c r="Y12" s="1038"/>
      <c r="Z12" s="1038"/>
      <c r="AA12" s="1038"/>
      <c r="AB12" s="1038"/>
      <c r="AC12" s="1038"/>
      <c r="AD12" s="1038"/>
      <c r="AE12" s="1038"/>
      <c r="AF12" s="1038"/>
      <c r="AG12" s="1050"/>
      <c r="AH12" s="1038"/>
      <c r="AI12" s="1038"/>
      <c r="AJ12" s="1038"/>
      <c r="AK12" s="1038"/>
      <c r="AL12" s="1038"/>
      <c r="AM12" s="1038"/>
      <c r="AN12" s="1038"/>
      <c r="AO12" s="1038"/>
      <c r="AP12" s="1038"/>
      <c r="AQ12" s="1050"/>
      <c r="AR12" s="1038"/>
      <c r="AS12" s="1038"/>
      <c r="AT12" s="1038"/>
      <c r="AU12" s="1038"/>
      <c r="AV12" s="1038"/>
      <c r="AW12" s="1038"/>
      <c r="AX12" s="1038"/>
      <c r="AY12" s="1038"/>
      <c r="AZ12" s="1038"/>
      <c r="BA12" s="855"/>
    </row>
    <row r="13" spans="1:60" s="782" customFormat="1" ht="19.5" customHeight="1" thickBot="1" x14ac:dyDescent="0.25">
      <c r="A13" s="1032"/>
      <c r="B13" s="1035"/>
      <c r="C13" s="1032"/>
      <c r="D13" s="783">
        <v>2018</v>
      </c>
      <c r="E13" s="783">
        <v>2019</v>
      </c>
      <c r="F13" s="783">
        <v>2020</v>
      </c>
      <c r="G13" s="783">
        <v>2021</v>
      </c>
      <c r="H13" s="783">
        <v>2022</v>
      </c>
      <c r="I13" s="784">
        <v>2023</v>
      </c>
      <c r="J13" s="785">
        <v>2024</v>
      </c>
      <c r="K13" s="786">
        <v>2025</v>
      </c>
      <c r="L13" s="787">
        <v>2026</v>
      </c>
      <c r="M13" s="1049"/>
      <c r="N13" s="783">
        <v>2018</v>
      </c>
      <c r="O13" s="783">
        <v>2019</v>
      </c>
      <c r="P13" s="783">
        <v>2020</v>
      </c>
      <c r="Q13" s="783">
        <v>2021</v>
      </c>
      <c r="R13" s="783">
        <v>2022</v>
      </c>
      <c r="S13" s="784">
        <v>2023</v>
      </c>
      <c r="T13" s="787">
        <v>2024</v>
      </c>
      <c r="U13" s="787">
        <v>2025</v>
      </c>
      <c r="V13" s="787">
        <v>2026</v>
      </c>
      <c r="W13" s="1050"/>
      <c r="X13" s="833"/>
      <c r="Y13" s="833"/>
      <c r="Z13" s="833"/>
      <c r="AA13" s="833"/>
      <c r="AB13" s="833"/>
      <c r="AC13" s="833"/>
      <c r="AD13" s="833"/>
      <c r="AE13" s="833"/>
      <c r="AF13" s="833"/>
      <c r="AG13" s="1050"/>
      <c r="AH13" s="833"/>
      <c r="AI13" s="833"/>
      <c r="AJ13" s="833"/>
      <c r="AK13" s="833"/>
      <c r="AL13" s="833"/>
      <c r="AM13" s="833"/>
      <c r="AN13" s="833"/>
      <c r="AO13" s="833"/>
      <c r="AP13" s="833"/>
      <c r="AQ13" s="1050"/>
      <c r="AR13" s="833"/>
      <c r="AS13" s="833"/>
      <c r="AT13" s="833"/>
      <c r="AU13" s="833"/>
      <c r="AV13" s="833"/>
      <c r="AW13" s="833"/>
      <c r="AX13" s="833"/>
      <c r="AY13" s="833"/>
      <c r="AZ13" s="833"/>
      <c r="BA13" s="855"/>
    </row>
    <row r="14" spans="1:60" s="794" customFormat="1" ht="11.25" customHeight="1" thickBot="1" x14ac:dyDescent="0.25">
      <c r="A14" s="789">
        <v>1</v>
      </c>
      <c r="B14" s="789">
        <v>2</v>
      </c>
      <c r="C14" s="789">
        <v>3</v>
      </c>
      <c r="D14" s="789">
        <v>4</v>
      </c>
      <c r="E14" s="789">
        <v>5</v>
      </c>
      <c r="F14" s="789">
        <v>6</v>
      </c>
      <c r="G14" s="789">
        <v>7</v>
      </c>
      <c r="H14" s="790">
        <v>8</v>
      </c>
      <c r="I14" s="790">
        <v>9</v>
      </c>
      <c r="J14" s="791">
        <v>10</v>
      </c>
      <c r="K14" s="791">
        <v>11</v>
      </c>
      <c r="L14" s="791">
        <v>12</v>
      </c>
      <c r="M14" s="789">
        <v>13</v>
      </c>
      <c r="N14" s="789">
        <v>14</v>
      </c>
      <c r="O14" s="789">
        <v>15</v>
      </c>
      <c r="P14" s="789">
        <v>16</v>
      </c>
      <c r="Q14" s="789">
        <v>17</v>
      </c>
      <c r="R14" s="789">
        <v>18</v>
      </c>
      <c r="S14" s="789">
        <v>19</v>
      </c>
      <c r="T14" s="792">
        <v>20</v>
      </c>
      <c r="U14" s="792">
        <v>21</v>
      </c>
      <c r="V14" s="793">
        <v>22</v>
      </c>
      <c r="W14" s="799"/>
      <c r="X14" s="799"/>
      <c r="Y14" s="799"/>
      <c r="Z14" s="799"/>
      <c r="AA14" s="799"/>
      <c r="AB14" s="799"/>
      <c r="AC14" s="799"/>
      <c r="AD14" s="799"/>
      <c r="AE14" s="799"/>
      <c r="AF14" s="799"/>
      <c r="AG14" s="799"/>
      <c r="AH14" s="799"/>
      <c r="AI14" s="799"/>
      <c r="AJ14" s="799"/>
      <c r="AK14" s="799"/>
      <c r="AL14" s="799"/>
      <c r="AM14" s="799"/>
      <c r="AN14" s="799"/>
      <c r="AO14" s="799"/>
      <c r="AP14" s="799"/>
      <c r="AQ14" s="799"/>
      <c r="AR14" s="799"/>
      <c r="AS14" s="799"/>
      <c r="AT14" s="799"/>
      <c r="AU14" s="799"/>
      <c r="AV14" s="799"/>
      <c r="AW14" s="799"/>
      <c r="AX14" s="799"/>
      <c r="AY14" s="799"/>
      <c r="AZ14" s="799"/>
      <c r="BA14" s="799"/>
    </row>
    <row r="15" spans="1:60" s="597" customFormat="1" ht="11.25" customHeight="1" thickBot="1" x14ac:dyDescent="0.25">
      <c r="A15" s="838" t="s">
        <v>1160</v>
      </c>
      <c r="B15" s="839" t="s">
        <v>1212</v>
      </c>
      <c r="C15" s="840">
        <v>0</v>
      </c>
      <c r="D15" s="841">
        <v>0</v>
      </c>
      <c r="E15" s="841">
        <v>0</v>
      </c>
      <c r="F15" s="841">
        <v>0</v>
      </c>
      <c r="G15" s="841">
        <v>0</v>
      </c>
      <c r="H15" s="842">
        <v>0</v>
      </c>
      <c r="I15" s="842">
        <v>0</v>
      </c>
      <c r="J15" s="842">
        <v>0</v>
      </c>
      <c r="K15" s="842">
        <v>0</v>
      </c>
      <c r="L15" s="842">
        <v>0</v>
      </c>
      <c r="M15" s="840">
        <v>0</v>
      </c>
      <c r="N15" s="841">
        <v>0</v>
      </c>
      <c r="O15" s="841">
        <v>0</v>
      </c>
      <c r="P15" s="841">
        <v>0</v>
      </c>
      <c r="Q15" s="841">
        <v>0</v>
      </c>
      <c r="R15" s="842">
        <v>0</v>
      </c>
      <c r="S15" s="841">
        <v>0</v>
      </c>
      <c r="T15" s="842">
        <v>0</v>
      </c>
      <c r="U15" s="842">
        <v>0</v>
      </c>
      <c r="V15" s="843">
        <v>0</v>
      </c>
      <c r="W15" s="795"/>
      <c r="X15" s="795"/>
      <c r="Y15" s="795"/>
      <c r="Z15" s="795"/>
      <c r="AA15" s="795"/>
      <c r="AB15" s="795"/>
      <c r="AC15" s="795"/>
      <c r="AD15" s="795"/>
      <c r="AE15" s="795"/>
      <c r="AF15" s="795"/>
      <c r="AG15" s="795"/>
      <c r="AH15" s="795"/>
      <c r="AI15" s="795"/>
      <c r="AJ15" s="795"/>
      <c r="AK15" s="795"/>
      <c r="AL15" s="795"/>
      <c r="AM15" s="795"/>
      <c r="AN15" s="795"/>
      <c r="AO15" s="795"/>
      <c r="AP15" s="795"/>
      <c r="AQ15" s="795"/>
      <c r="AR15" s="795"/>
      <c r="AS15" s="795"/>
      <c r="AT15" s="795"/>
      <c r="AU15" s="795"/>
      <c r="AV15" s="795"/>
      <c r="AW15" s="795"/>
      <c r="AX15" s="795"/>
      <c r="AY15" s="795"/>
      <c r="AZ15" s="795"/>
      <c r="BA15" s="795"/>
      <c r="BB15" s="1043"/>
      <c r="BC15" s="1043"/>
      <c r="BD15" s="1043"/>
      <c r="BE15" s="1043"/>
      <c r="BF15" s="1043"/>
      <c r="BG15" s="1043"/>
      <c r="BH15" s="1044"/>
    </row>
    <row r="16" spans="1:60" ht="12.75" customHeight="1" x14ac:dyDescent="0.2"/>
    <row r="17" spans="1:54" ht="27" hidden="1" customHeight="1" x14ac:dyDescent="0.2">
      <c r="C17" s="594" t="s">
        <v>1161</v>
      </c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1052"/>
      <c r="O17" s="1052"/>
      <c r="P17" s="1052"/>
      <c r="Q17" s="1052"/>
      <c r="R17" s="1052"/>
      <c r="S17" s="1052"/>
      <c r="T17" s="1052"/>
      <c r="U17" s="1052"/>
      <c r="V17" s="1052"/>
      <c r="W17" s="1052"/>
      <c r="X17" s="1052"/>
      <c r="Y17" s="1052"/>
      <c r="Z17" s="827"/>
      <c r="AA17" s="827"/>
    </row>
    <row r="18" spans="1:54" ht="12.75" hidden="1" customHeight="1" x14ac:dyDescent="0.2">
      <c r="C18" s="595" t="s">
        <v>96</v>
      </c>
      <c r="D18" s="595"/>
      <c r="E18" s="595"/>
      <c r="F18" s="595"/>
      <c r="G18" s="595"/>
      <c r="H18" s="595"/>
      <c r="I18" s="595"/>
      <c r="J18" s="595"/>
      <c r="K18" s="595"/>
      <c r="L18" s="595"/>
      <c r="M18" s="595"/>
      <c r="N18" s="1053"/>
      <c r="O18" s="1053"/>
      <c r="P18" s="1053"/>
      <c r="Q18" s="1053"/>
      <c r="R18" s="1053"/>
      <c r="S18" s="1053"/>
      <c r="T18" s="1053"/>
      <c r="U18" s="1053"/>
      <c r="V18" s="1053"/>
      <c r="W18" s="1053"/>
      <c r="X18" s="1053"/>
      <c r="Y18" s="1053"/>
      <c r="Z18" s="830"/>
      <c r="AA18" s="830"/>
    </row>
    <row r="19" spans="1:54" ht="12.75" hidden="1" customHeight="1" x14ac:dyDescent="0.2"/>
    <row r="20" spans="1:54" ht="12.75" hidden="1" customHeight="1" x14ac:dyDescent="0.2"/>
    <row r="21" spans="1:54" ht="12.75" customHeight="1" x14ac:dyDescent="0.2"/>
    <row r="22" spans="1:54" s="594" customFormat="1" ht="11.25" customHeight="1" thickBot="1" x14ac:dyDescent="0.25">
      <c r="O22" s="1054"/>
      <c r="P22" s="1054"/>
      <c r="Q22" s="1054"/>
      <c r="R22" s="1054"/>
      <c r="S22" s="1054"/>
      <c r="T22" s="1054"/>
      <c r="U22" s="1054"/>
      <c r="V22" s="1054"/>
      <c r="W22" s="1054"/>
      <c r="X22" s="1054"/>
      <c r="Y22" s="1054"/>
      <c r="Z22" s="1054"/>
      <c r="AA22" s="1054"/>
      <c r="AB22" s="1054"/>
      <c r="AC22" s="1054"/>
      <c r="AD22" s="1054"/>
      <c r="AE22" s="1054"/>
      <c r="AF22" s="1054"/>
      <c r="AG22" s="1054"/>
    </row>
    <row r="23" spans="1:54" s="595" customFormat="1" ht="11.25" customHeight="1" thickBot="1" x14ac:dyDescent="0.25">
      <c r="A23" s="1031" t="s">
        <v>702</v>
      </c>
      <c r="B23" s="1033" t="s">
        <v>454</v>
      </c>
      <c r="C23" s="1036" t="s">
        <v>1057</v>
      </c>
      <c r="D23" s="1037"/>
      <c r="E23" s="1037"/>
      <c r="F23" s="1037"/>
      <c r="G23" s="1037"/>
      <c r="H23" s="1037"/>
      <c r="I23" s="1037"/>
      <c r="J23" s="1037"/>
      <c r="K23" s="1037"/>
      <c r="L23" s="1037"/>
      <c r="M23" s="1037"/>
      <c r="N23" s="1037"/>
      <c r="O23" s="1037"/>
      <c r="P23" s="1037"/>
      <c r="Q23" s="1037"/>
      <c r="R23" s="1037"/>
      <c r="S23" s="1037"/>
      <c r="T23" s="1037"/>
      <c r="U23" s="1037"/>
      <c r="V23" s="1037"/>
      <c r="W23" s="1037"/>
      <c r="X23" s="1037"/>
      <c r="Y23" s="1037"/>
      <c r="Z23" s="1037"/>
      <c r="AA23" s="1037"/>
      <c r="AB23" s="1037"/>
      <c r="AC23" s="1037"/>
      <c r="AD23" s="1037"/>
      <c r="AE23" s="1037"/>
      <c r="AF23" s="1047"/>
      <c r="AG23" s="796"/>
      <c r="AH23" s="796"/>
      <c r="AI23" s="796"/>
      <c r="AJ23" s="796"/>
      <c r="AK23" s="796"/>
      <c r="AL23" s="796"/>
      <c r="AM23" s="796"/>
      <c r="AN23" s="796"/>
      <c r="AO23" s="796"/>
      <c r="AP23" s="796"/>
      <c r="AQ23" s="796"/>
      <c r="AR23" s="796"/>
      <c r="AS23" s="796"/>
      <c r="AT23" s="796"/>
      <c r="AU23" s="796"/>
      <c r="AV23" s="796"/>
      <c r="AW23" s="796"/>
      <c r="AX23" s="796"/>
      <c r="AY23" s="796"/>
      <c r="AZ23" s="796"/>
      <c r="BA23" s="796"/>
    </row>
    <row r="24" spans="1:54" ht="34.15" customHeight="1" thickBot="1" x14ac:dyDescent="0.25">
      <c r="A24" s="1032"/>
      <c r="B24" s="1034"/>
      <c r="C24" s="1039" t="s">
        <v>1155</v>
      </c>
      <c r="D24" s="1040"/>
      <c r="E24" s="1040"/>
      <c r="F24" s="1040"/>
      <c r="G24" s="1040"/>
      <c r="H24" s="1040"/>
      <c r="I24" s="1040"/>
      <c r="J24" s="1040"/>
      <c r="K24" s="1040"/>
      <c r="L24" s="1041"/>
      <c r="M24" s="1039" t="s">
        <v>1156</v>
      </c>
      <c r="N24" s="1040"/>
      <c r="O24" s="1040"/>
      <c r="P24" s="1040"/>
      <c r="Q24" s="1040"/>
      <c r="R24" s="1040"/>
      <c r="S24" s="1040"/>
      <c r="T24" s="1040"/>
      <c r="U24" s="1040"/>
      <c r="V24" s="1041"/>
      <c r="W24" s="1055" t="s">
        <v>1157</v>
      </c>
      <c r="X24" s="1056"/>
      <c r="Y24" s="1056"/>
      <c r="Z24" s="1056"/>
      <c r="AA24" s="1056"/>
      <c r="AB24" s="1056"/>
      <c r="AC24" s="1056"/>
      <c r="AD24" s="1056"/>
      <c r="AE24" s="1056"/>
      <c r="AF24" s="1057"/>
    </row>
    <row r="25" spans="1:54" ht="13.5" customHeight="1" thickBot="1" x14ac:dyDescent="0.25">
      <c r="A25" s="1032"/>
      <c r="B25" s="1034"/>
      <c r="C25" s="1033" t="s">
        <v>1158</v>
      </c>
      <c r="D25" s="1036" t="s">
        <v>1159</v>
      </c>
      <c r="E25" s="1037"/>
      <c r="F25" s="1037"/>
      <c r="G25" s="1037"/>
      <c r="H25" s="1037"/>
      <c r="I25" s="1037"/>
      <c r="J25" s="1037"/>
      <c r="K25" s="1037"/>
      <c r="L25" s="1047"/>
      <c r="M25" s="1033" t="s">
        <v>1158</v>
      </c>
      <c r="N25" s="1036" t="s">
        <v>1159</v>
      </c>
      <c r="O25" s="1037"/>
      <c r="P25" s="1037"/>
      <c r="Q25" s="1037"/>
      <c r="R25" s="1037"/>
      <c r="S25" s="1037"/>
      <c r="T25" s="1037"/>
      <c r="U25" s="1037"/>
      <c r="V25" s="1047"/>
      <c r="W25" s="1031" t="s">
        <v>1158</v>
      </c>
      <c r="X25" s="1036" t="s">
        <v>1159</v>
      </c>
      <c r="Y25" s="1037"/>
      <c r="Z25" s="1037"/>
      <c r="AA25" s="1037"/>
      <c r="AB25" s="1037"/>
      <c r="AC25" s="1037"/>
      <c r="AD25" s="1037"/>
      <c r="AE25" s="1037"/>
      <c r="AF25" s="1047"/>
    </row>
    <row r="26" spans="1:54" ht="13.5" thickBot="1" x14ac:dyDescent="0.25">
      <c r="A26" s="1032"/>
      <c r="B26" s="1035"/>
      <c r="C26" s="1035"/>
      <c r="D26" s="788">
        <v>2018</v>
      </c>
      <c r="E26" s="788">
        <v>2019</v>
      </c>
      <c r="F26" s="788">
        <v>2020</v>
      </c>
      <c r="G26" s="788">
        <v>2021</v>
      </c>
      <c r="H26" s="788">
        <v>2022</v>
      </c>
      <c r="I26" s="904">
        <v>2023</v>
      </c>
      <c r="J26" s="787">
        <v>2024</v>
      </c>
      <c r="K26" s="787">
        <v>2025</v>
      </c>
      <c r="L26" s="787">
        <v>2026</v>
      </c>
      <c r="M26" s="1035"/>
      <c r="N26" s="788">
        <v>2018</v>
      </c>
      <c r="O26" s="788">
        <v>2019</v>
      </c>
      <c r="P26" s="788">
        <v>2020</v>
      </c>
      <c r="Q26" s="788">
        <v>2021</v>
      </c>
      <c r="R26" s="788">
        <v>2022</v>
      </c>
      <c r="S26" s="904">
        <v>2023</v>
      </c>
      <c r="T26" s="787">
        <v>2024</v>
      </c>
      <c r="U26" s="787">
        <v>2025</v>
      </c>
      <c r="V26" s="787">
        <v>2026</v>
      </c>
      <c r="W26" s="1032"/>
      <c r="X26" s="788">
        <v>2018</v>
      </c>
      <c r="Y26" s="788">
        <v>2019</v>
      </c>
      <c r="Z26" s="788">
        <v>2020</v>
      </c>
      <c r="AA26" s="788">
        <v>2021</v>
      </c>
      <c r="AB26" s="788">
        <v>2022</v>
      </c>
      <c r="AC26" s="904">
        <v>2023</v>
      </c>
      <c r="AD26" s="787">
        <v>2024</v>
      </c>
      <c r="AE26" s="787">
        <v>2025</v>
      </c>
      <c r="AF26" s="787">
        <v>2026</v>
      </c>
    </row>
    <row r="27" spans="1:54" ht="13.5" thickBot="1" x14ac:dyDescent="0.25">
      <c r="A27" s="789">
        <v>1</v>
      </c>
      <c r="B27" s="789">
        <v>2</v>
      </c>
      <c r="C27" s="791">
        <v>23</v>
      </c>
      <c r="D27" s="791">
        <v>24</v>
      </c>
      <c r="E27" s="791">
        <v>25</v>
      </c>
      <c r="F27" s="791">
        <v>26</v>
      </c>
      <c r="G27" s="791">
        <v>27</v>
      </c>
      <c r="H27" s="791">
        <v>28</v>
      </c>
      <c r="I27" s="791">
        <v>29</v>
      </c>
      <c r="J27" s="791">
        <v>30</v>
      </c>
      <c r="K27" s="791">
        <v>31</v>
      </c>
      <c r="L27" s="791">
        <v>32</v>
      </c>
      <c r="M27" s="791">
        <v>33</v>
      </c>
      <c r="N27" s="791">
        <v>34</v>
      </c>
      <c r="O27" s="791">
        <v>35</v>
      </c>
      <c r="P27" s="791">
        <v>36</v>
      </c>
      <c r="Q27" s="791">
        <v>37</v>
      </c>
      <c r="R27" s="791">
        <v>38</v>
      </c>
      <c r="S27" s="791">
        <v>39</v>
      </c>
      <c r="T27" s="791">
        <v>40</v>
      </c>
      <c r="U27" s="791">
        <v>41</v>
      </c>
      <c r="V27" s="791">
        <v>42</v>
      </c>
      <c r="W27" s="791">
        <v>43</v>
      </c>
      <c r="X27" s="791">
        <v>44</v>
      </c>
      <c r="Y27" s="791">
        <v>45</v>
      </c>
      <c r="Z27" s="791">
        <v>46</v>
      </c>
      <c r="AA27" s="791">
        <v>47</v>
      </c>
      <c r="AB27" s="791">
        <v>48</v>
      </c>
      <c r="AC27" s="791">
        <v>49</v>
      </c>
      <c r="AD27" s="791">
        <v>50</v>
      </c>
      <c r="AE27" s="791">
        <v>51</v>
      </c>
      <c r="AF27" s="791">
        <v>52</v>
      </c>
    </row>
    <row r="28" spans="1:54" ht="13.5" thickBot="1" x14ac:dyDescent="0.25">
      <c r="A28" s="838" t="s">
        <v>1160</v>
      </c>
      <c r="B28" s="839" t="s">
        <v>1212</v>
      </c>
      <c r="C28" s="844">
        <v>254.5</v>
      </c>
      <c r="D28" s="844">
        <v>252.9</v>
      </c>
      <c r="E28" s="844">
        <v>252.9</v>
      </c>
      <c r="F28" s="844">
        <v>252.9</v>
      </c>
      <c r="G28" s="844">
        <v>252.9</v>
      </c>
      <c r="H28" s="844">
        <v>252.9</v>
      </c>
      <c r="I28" s="844">
        <v>252.9</v>
      </c>
      <c r="J28" s="844">
        <v>252.9</v>
      </c>
      <c r="K28" s="844">
        <v>252.9</v>
      </c>
      <c r="L28" s="844">
        <v>252.9</v>
      </c>
      <c r="M28" s="845">
        <v>3.0275922698459214</v>
      </c>
      <c r="N28" s="845">
        <v>3.0275922698459214</v>
      </c>
      <c r="O28" s="845">
        <v>3.0275922698459214</v>
      </c>
      <c r="P28" s="845">
        <v>3.0275922698459214</v>
      </c>
      <c r="Q28" s="845">
        <v>3.0275922698459214</v>
      </c>
      <c r="R28" s="845">
        <v>3.0275922698459214</v>
      </c>
      <c r="S28" s="845">
        <v>3.0275922698459214</v>
      </c>
      <c r="T28" s="845">
        <v>3.0275922698459214</v>
      </c>
      <c r="U28" s="845">
        <v>3.0275922698459214</v>
      </c>
      <c r="V28" s="845">
        <v>3.0275922698459214</v>
      </c>
      <c r="W28" s="844">
        <v>392.6</v>
      </c>
      <c r="X28" s="844">
        <v>392.6</v>
      </c>
      <c r="Y28" s="844">
        <v>392.6</v>
      </c>
      <c r="Z28" s="844">
        <v>392.6</v>
      </c>
      <c r="AA28" s="844">
        <v>392.6</v>
      </c>
      <c r="AB28" s="844">
        <v>392.6</v>
      </c>
      <c r="AC28" s="844">
        <v>392.6</v>
      </c>
      <c r="AD28" s="844">
        <v>392.6</v>
      </c>
      <c r="AE28" s="844">
        <v>392.6</v>
      </c>
      <c r="AF28" s="844">
        <v>392.6</v>
      </c>
      <c r="BB28" s="537">
        <v>129.67400000000001</v>
      </c>
    </row>
    <row r="29" spans="1:54" x14ac:dyDescent="0.2">
      <c r="AF29" s="473" t="s">
        <v>1292</v>
      </c>
    </row>
    <row r="33" spans="1:33" hidden="1" x14ac:dyDescent="0.2"/>
    <row r="34" spans="1:33" hidden="1" x14ac:dyDescent="0.2"/>
    <row r="35" spans="1:33" hidden="1" x14ac:dyDescent="0.2"/>
    <row r="36" spans="1:33" hidden="1" x14ac:dyDescent="0.2"/>
    <row r="37" spans="1:33" hidden="1" x14ac:dyDescent="0.2">
      <c r="A37" s="594"/>
      <c r="B37" s="594"/>
      <c r="C37" s="594" t="s">
        <v>1162</v>
      </c>
      <c r="D37" s="594"/>
      <c r="E37" s="594"/>
      <c r="F37" s="594"/>
      <c r="G37" s="594"/>
      <c r="H37" s="594"/>
      <c r="I37" s="594"/>
      <c r="J37" s="594"/>
      <c r="K37" s="594"/>
      <c r="L37" s="594"/>
      <c r="M37" s="594"/>
      <c r="N37" s="594"/>
      <c r="O37" s="1051" t="s">
        <v>1163</v>
      </c>
      <c r="P37" s="1051"/>
      <c r="Q37" s="1051"/>
      <c r="R37" s="1051"/>
      <c r="S37" s="1051"/>
      <c r="T37" s="1051"/>
      <c r="U37" s="1051"/>
      <c r="V37" s="1051"/>
      <c r="W37" s="1051"/>
      <c r="X37" s="1051"/>
      <c r="Y37" s="1051"/>
      <c r="Z37" s="1051"/>
      <c r="AA37" s="1051"/>
      <c r="AB37" s="1051"/>
      <c r="AC37" s="1051"/>
      <c r="AD37" s="797"/>
      <c r="AE37" s="797"/>
      <c r="AF37" s="797"/>
      <c r="AG37" s="797"/>
    </row>
    <row r="38" spans="1:33" hidden="1" x14ac:dyDescent="0.2">
      <c r="J38" s="537" t="s">
        <v>942</v>
      </c>
    </row>
    <row r="39" spans="1:33" hidden="1" x14ac:dyDescent="0.2"/>
  </sheetData>
  <mergeCells count="41">
    <mergeCell ref="Z1:AF2"/>
    <mergeCell ref="Z4:AF5"/>
    <mergeCell ref="O37:AC37"/>
    <mergeCell ref="N17:Y17"/>
    <mergeCell ref="N18:Y18"/>
    <mergeCell ref="O22:AG22"/>
    <mergeCell ref="A23:A26"/>
    <mergeCell ref="B23:B26"/>
    <mergeCell ref="C23:AF23"/>
    <mergeCell ref="C24:L24"/>
    <mergeCell ref="M24:V24"/>
    <mergeCell ref="W24:AF24"/>
    <mergeCell ref="C25:C26"/>
    <mergeCell ref="D25:L25"/>
    <mergeCell ref="M25:M26"/>
    <mergeCell ref="N25:V25"/>
    <mergeCell ref="W25:W26"/>
    <mergeCell ref="X25:AF25"/>
    <mergeCell ref="BB15:BH15"/>
    <mergeCell ref="BB11:BH11"/>
    <mergeCell ref="C12:C13"/>
    <mergeCell ref="D12:L12"/>
    <mergeCell ref="M12:M13"/>
    <mergeCell ref="N12:V12"/>
    <mergeCell ref="W12:W13"/>
    <mergeCell ref="X12:AF12"/>
    <mergeCell ref="AG12:AG13"/>
    <mergeCell ref="AH12:AP12"/>
    <mergeCell ref="AQ12:AQ13"/>
    <mergeCell ref="AR12:AZ12"/>
    <mergeCell ref="A7:AV7"/>
    <mergeCell ref="A8:AW8"/>
    <mergeCell ref="A10:A13"/>
    <mergeCell ref="B10:B13"/>
    <mergeCell ref="C10:S10"/>
    <mergeCell ref="W10:AZ10"/>
    <mergeCell ref="C11:L11"/>
    <mergeCell ref="M11:V11"/>
    <mergeCell ref="W11:AF11"/>
    <mergeCell ref="AG11:AP11"/>
    <mergeCell ref="AQ11:AZ11"/>
  </mergeCells>
  <pageMargins left="0.19685039370078741" right="0.19685039370078741" top="0.74803149606299213" bottom="0.39370078740157483" header="0.31496062992125984" footer="0.31496062992125984"/>
  <pageSetup paperSize="9" scale="9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9"/>
  <sheetViews>
    <sheetView tabSelected="1" view="pageBreakPreview" zoomScale="110" zoomScaleNormal="100" zoomScaleSheetLayoutView="110" workbookViewId="0">
      <selection activeCell="J14" sqref="J14"/>
    </sheetView>
  </sheetViews>
  <sheetFormatPr defaultColWidth="9" defaultRowHeight="50.45" customHeight="1" outlineLevelRow="1" outlineLevelCol="1" x14ac:dyDescent="0.2"/>
  <cols>
    <col min="1" max="1" width="4.375" style="436" customWidth="1"/>
    <col min="2" max="2" width="24.125" style="436" customWidth="1"/>
    <col min="3" max="3" width="11.25" style="436" hidden="1" customWidth="1"/>
    <col min="4" max="4" width="7.25" style="436" bestFit="1" customWidth="1"/>
    <col min="5" max="8" width="6.875" style="436" customWidth="1"/>
    <col min="9" max="10" width="6.75" style="436" customWidth="1"/>
    <col min="11" max="11" width="6.5" style="436" customWidth="1"/>
    <col min="12" max="12" width="6.25" style="436" customWidth="1" outlineLevel="1"/>
    <col min="13" max="13" width="5.75" style="436" customWidth="1" outlineLevel="1"/>
    <col min="14" max="14" width="1.125" style="436" customWidth="1" outlineLevel="1"/>
    <col min="15" max="18" width="6.875" style="436" customWidth="1"/>
    <col min="19" max="16384" width="9" style="436"/>
  </cols>
  <sheetData>
    <row r="1" spans="1:15" ht="63" customHeight="1" x14ac:dyDescent="0.2">
      <c r="J1" s="1251" t="s">
        <v>1300</v>
      </c>
      <c r="K1" s="1251"/>
      <c r="L1" s="1251"/>
      <c r="M1" s="1251"/>
    </row>
    <row r="2" spans="1:15" ht="22.5" customHeight="1" x14ac:dyDescent="0.2"/>
    <row r="3" spans="1:15" ht="66" customHeight="1" x14ac:dyDescent="0.2">
      <c r="D3" s="1076"/>
      <c r="E3" s="1076"/>
      <c r="J3" s="1251" t="s">
        <v>1298</v>
      </c>
      <c r="K3" s="1251"/>
      <c r="L3" s="1251"/>
      <c r="M3" s="1251"/>
      <c r="N3" s="800"/>
      <c r="O3" s="800"/>
    </row>
    <row r="4" spans="1:15" s="801" customFormat="1" ht="14.25" outlineLevel="1" x14ac:dyDescent="0.2">
      <c r="A4" s="1059" t="s">
        <v>1164</v>
      </c>
      <c r="B4" s="1059"/>
      <c r="C4" s="1059"/>
      <c r="D4" s="1059"/>
      <c r="E4" s="1059"/>
      <c r="F4" s="1059"/>
      <c r="G4" s="1059"/>
      <c r="H4" s="1059"/>
      <c r="I4" s="1059"/>
      <c r="J4" s="1059"/>
      <c r="K4" s="1059"/>
      <c r="L4" s="1059"/>
      <c r="M4" s="1059"/>
    </row>
    <row r="5" spans="1:15" s="801" customFormat="1" ht="14.25" outlineLevel="1" x14ac:dyDescent="0.2">
      <c r="A5" s="1077" t="s">
        <v>1165</v>
      </c>
      <c r="B5" s="1077"/>
      <c r="C5" s="1077"/>
      <c r="D5" s="1077"/>
      <c r="E5" s="1077"/>
      <c r="F5" s="1077"/>
      <c r="G5" s="1077"/>
      <c r="H5" s="1077"/>
      <c r="I5" s="1077"/>
      <c r="J5" s="1077"/>
      <c r="K5" s="1077"/>
      <c r="L5" s="1077"/>
      <c r="M5" s="1077"/>
    </row>
    <row r="6" spans="1:15" s="461" customFormat="1" ht="14.25" outlineLevel="1" x14ac:dyDescent="0.2">
      <c r="A6" s="1078" t="s">
        <v>1179</v>
      </c>
      <c r="B6" s="1078"/>
      <c r="C6" s="1078"/>
      <c r="D6" s="1078"/>
      <c r="E6" s="1078"/>
      <c r="F6" s="1078"/>
      <c r="G6" s="1078"/>
      <c r="H6" s="1078"/>
      <c r="I6" s="1078"/>
      <c r="J6" s="1078"/>
      <c r="K6" s="1078"/>
      <c r="L6" s="1078"/>
      <c r="M6" s="1078"/>
    </row>
    <row r="7" spans="1:15" ht="14.25" outlineLevel="1" x14ac:dyDescent="0.2">
      <c r="A7" s="1059" t="s">
        <v>1166</v>
      </c>
      <c r="B7" s="1059"/>
      <c r="C7" s="1059"/>
      <c r="D7" s="1059"/>
      <c r="E7" s="1059"/>
      <c r="F7" s="1059"/>
      <c r="G7" s="1059"/>
      <c r="H7" s="1059"/>
      <c r="I7" s="1059"/>
      <c r="J7" s="1059"/>
      <c r="K7" s="1059"/>
      <c r="L7" s="1059"/>
      <c r="M7" s="1059"/>
    </row>
    <row r="8" spans="1:15" ht="12.75" outlineLevel="1" x14ac:dyDescent="0.2"/>
    <row r="9" spans="1:15" ht="12.75" x14ac:dyDescent="0.2">
      <c r="A9" s="709" t="s">
        <v>849</v>
      </c>
    </row>
    <row r="10" spans="1:15" s="722" customFormat="1" ht="28.15" customHeight="1" x14ac:dyDescent="0.2">
      <c r="A10" s="1060" t="s">
        <v>702</v>
      </c>
      <c r="B10" s="1063" t="s">
        <v>1167</v>
      </c>
      <c r="C10" s="1064" t="s">
        <v>1168</v>
      </c>
      <c r="D10" s="1064"/>
      <c r="E10" s="1064"/>
      <c r="F10" s="1064"/>
      <c r="G10" s="1064"/>
      <c r="H10" s="1064"/>
      <c r="I10" s="1064"/>
      <c r="J10" s="1064"/>
      <c r="K10" s="1064"/>
      <c r="L10" s="1064"/>
      <c r="M10" s="1065"/>
      <c r="N10" s="861"/>
    </row>
    <row r="11" spans="1:15" s="723" customFormat="1" ht="24" customHeight="1" x14ac:dyDescent="0.2">
      <c r="A11" s="1061"/>
      <c r="B11" s="1063"/>
      <c r="C11" s="802" t="s">
        <v>1169</v>
      </c>
      <c r="D11" s="1066" t="s">
        <v>284</v>
      </c>
      <c r="E11" s="1064" t="s">
        <v>1182</v>
      </c>
      <c r="F11" s="1064"/>
      <c r="G11" s="1064"/>
      <c r="H11" s="1064"/>
      <c r="I11" s="1064"/>
      <c r="J11" s="1064"/>
      <c r="K11" s="1064"/>
      <c r="L11" s="1064"/>
      <c r="M11" s="1065"/>
      <c r="N11" s="862"/>
    </row>
    <row r="12" spans="1:15" s="723" customFormat="1" ht="12" customHeight="1" x14ac:dyDescent="0.2">
      <c r="A12" s="1061"/>
      <c r="B12" s="1063"/>
      <c r="C12" s="1069" t="s">
        <v>1170</v>
      </c>
      <c r="D12" s="1067"/>
      <c r="E12" s="1071" t="s">
        <v>900</v>
      </c>
      <c r="F12" s="1063">
        <v>2019</v>
      </c>
      <c r="G12" s="1073">
        <v>2020</v>
      </c>
      <c r="H12" s="1073">
        <v>2021</v>
      </c>
      <c r="I12" s="1073" t="s">
        <v>904</v>
      </c>
      <c r="J12" s="1063">
        <v>2023</v>
      </c>
      <c r="K12" s="1063">
        <v>2024</v>
      </c>
      <c r="L12" s="1063">
        <v>2025</v>
      </c>
      <c r="M12" s="1074">
        <v>2026</v>
      </c>
      <c r="N12" s="862"/>
    </row>
    <row r="13" spans="1:15" s="723" customFormat="1" ht="7.9" hidden="1" customHeight="1" x14ac:dyDescent="0.2">
      <c r="A13" s="1062"/>
      <c r="B13" s="1063"/>
      <c r="C13" s="1070"/>
      <c r="D13" s="1068"/>
      <c r="E13" s="1072"/>
      <c r="F13" s="1063"/>
      <c r="G13" s="1073"/>
      <c r="H13" s="1073"/>
      <c r="I13" s="1073"/>
      <c r="J13" s="1063"/>
      <c r="K13" s="1063"/>
      <c r="L13" s="1063"/>
      <c r="M13" s="1075"/>
      <c r="N13" s="862"/>
    </row>
    <row r="14" spans="1:15" s="723" customFormat="1" ht="12" x14ac:dyDescent="0.2">
      <c r="A14" s="803">
        <v>1</v>
      </c>
      <c r="B14" s="803">
        <v>2</v>
      </c>
      <c r="C14" s="803">
        <v>3</v>
      </c>
      <c r="D14" s="804">
        <v>3</v>
      </c>
      <c r="E14" s="804">
        <v>4</v>
      </c>
      <c r="F14" s="805">
        <v>5</v>
      </c>
      <c r="G14" s="805">
        <v>6</v>
      </c>
      <c r="H14" s="805">
        <v>7</v>
      </c>
      <c r="I14" s="805">
        <v>8</v>
      </c>
      <c r="J14" s="805">
        <v>9</v>
      </c>
      <c r="K14" s="805">
        <v>10</v>
      </c>
      <c r="L14" s="805">
        <v>11</v>
      </c>
      <c r="M14" s="857">
        <v>12</v>
      </c>
      <c r="N14" s="862"/>
    </row>
    <row r="15" spans="1:15" s="722" customFormat="1" ht="12" x14ac:dyDescent="0.2">
      <c r="A15" s="806" t="s">
        <v>1160</v>
      </c>
      <c r="B15" s="807" t="s">
        <v>442</v>
      </c>
      <c r="C15" s="808"/>
      <c r="D15" s="808">
        <f>SUM(E15:M15)</f>
        <v>18798.350847457627</v>
      </c>
      <c r="E15" s="808">
        <f>SUM(E16:E19)</f>
        <v>1706.071186440678</v>
      </c>
      <c r="F15" s="808">
        <f t="shared" ref="F15:M15" si="0">SUM(F16:F19)</f>
        <v>2531.0677966101694</v>
      </c>
      <c r="G15" s="808">
        <f t="shared" si="0"/>
        <v>2661.5677966101698</v>
      </c>
      <c r="H15" s="808">
        <f t="shared" si="0"/>
        <v>2798.0423728813562</v>
      </c>
      <c r="I15" s="808">
        <f t="shared" si="0"/>
        <v>2941.5254237288136</v>
      </c>
      <c r="J15" s="808">
        <f t="shared" si="0"/>
        <v>1376.3220338983051</v>
      </c>
      <c r="K15" s="808">
        <f t="shared" si="0"/>
        <v>2379.2881355932204</v>
      </c>
      <c r="L15" s="808">
        <f t="shared" si="0"/>
        <v>2404.4661016949153</v>
      </c>
      <c r="M15" s="808">
        <f t="shared" si="0"/>
        <v>0</v>
      </c>
      <c r="N15" s="861"/>
    </row>
    <row r="16" spans="1:15" s="723" customFormat="1" ht="12" x14ac:dyDescent="0.2">
      <c r="A16" s="810" t="s">
        <v>673</v>
      </c>
      <c r="B16" s="811" t="s">
        <v>1171</v>
      </c>
      <c r="C16" s="812"/>
      <c r="D16" s="812">
        <f t="shared" ref="D16:D26" si="1">SUM(E16:M16)</f>
        <v>16342.795369258625</v>
      </c>
      <c r="E16" s="812">
        <f>'[1]Расчет амортизации'!G12/1000</f>
        <v>1133.4884927360774</v>
      </c>
      <c r="F16" s="812">
        <f>'[1]Расчет амортизации'!H12/1000</f>
        <v>1358.3529579782662</v>
      </c>
      <c r="G16" s="812">
        <f>'[1]Расчет амортизации'!I12/1000</f>
        <v>2056.488821227028</v>
      </c>
      <c r="H16" s="812">
        <f>'[1]Расчет амортизации'!J12/1000</f>
        <v>2322.4635376677056</v>
      </c>
      <c r="I16" s="812">
        <f>'[1]Расчет амортизации'!K12/1000</f>
        <v>2327.9644813723062</v>
      </c>
      <c r="J16" s="812">
        <f>'[1]Расчет амортизации'!L12/1000</f>
        <v>2365.3600624861078</v>
      </c>
      <c r="K16" s="812">
        <f>'[1]Расчет амортизации'!M12/1000</f>
        <v>2374.2109140962193</v>
      </c>
      <c r="L16" s="812">
        <v>2404.4661016949153</v>
      </c>
      <c r="M16" s="812"/>
      <c r="N16" s="862"/>
    </row>
    <row r="17" spans="1:14" s="723" customFormat="1" ht="15.6" customHeight="1" outlineLevel="1" x14ac:dyDescent="0.2">
      <c r="A17" s="814" t="s">
        <v>674</v>
      </c>
      <c r="B17" s="811" t="s">
        <v>1172</v>
      </c>
      <c r="C17" s="812"/>
      <c r="D17" s="812">
        <f t="shared" si="1"/>
        <v>2455.5554781990022</v>
      </c>
      <c r="E17" s="812">
        <f>E34-E16</f>
        <v>572.58269370460062</v>
      </c>
      <c r="F17" s="812">
        <f t="shared" ref="F17:L17" si="2">F34-F16</f>
        <v>1172.7148386319031</v>
      </c>
      <c r="G17" s="812">
        <f t="shared" si="2"/>
        <v>605.07897538314182</v>
      </c>
      <c r="H17" s="812">
        <f t="shared" si="2"/>
        <v>475.57883521365056</v>
      </c>
      <c r="I17" s="812">
        <f t="shared" si="2"/>
        <v>613.56094235650744</v>
      </c>
      <c r="J17" s="812">
        <f t="shared" si="2"/>
        <v>-989.03802858780273</v>
      </c>
      <c r="K17" s="812">
        <f t="shared" si="2"/>
        <v>5.0772214970011191</v>
      </c>
      <c r="L17" s="812">
        <f t="shared" si="2"/>
        <v>0</v>
      </c>
      <c r="M17" s="812"/>
      <c r="N17" s="862"/>
    </row>
    <row r="18" spans="1:14" s="723" customFormat="1" ht="15.6" customHeight="1" outlineLevel="1" x14ac:dyDescent="0.2">
      <c r="A18" s="814" t="s">
        <v>675</v>
      </c>
      <c r="B18" s="811" t="s">
        <v>1173</v>
      </c>
      <c r="C18" s="812"/>
      <c r="D18" s="812">
        <f t="shared" si="1"/>
        <v>0</v>
      </c>
      <c r="E18" s="812"/>
      <c r="F18" s="813"/>
      <c r="G18" s="813"/>
      <c r="H18" s="813"/>
      <c r="I18" s="813"/>
      <c r="J18" s="813"/>
      <c r="K18" s="813"/>
      <c r="L18" s="813"/>
      <c r="M18" s="858"/>
      <c r="N18" s="862"/>
    </row>
    <row r="19" spans="1:14" s="723" customFormat="1" ht="36" x14ac:dyDescent="0.2">
      <c r="A19" s="815" t="s">
        <v>676</v>
      </c>
      <c r="B19" s="811" t="s">
        <v>1174</v>
      </c>
      <c r="C19" s="812"/>
      <c r="D19" s="812">
        <f t="shared" si="1"/>
        <v>0</v>
      </c>
      <c r="E19" s="812"/>
      <c r="F19" s="813"/>
      <c r="G19" s="813"/>
      <c r="H19" s="813"/>
      <c r="I19" s="813"/>
      <c r="J19" s="813"/>
      <c r="K19" s="813"/>
      <c r="L19" s="813"/>
      <c r="M19" s="858"/>
      <c r="N19" s="862"/>
    </row>
    <row r="20" spans="1:14" s="722" customFormat="1" ht="12" x14ac:dyDescent="0.2">
      <c r="A20" s="806" t="s">
        <v>694</v>
      </c>
      <c r="B20" s="807" t="s">
        <v>1175</v>
      </c>
      <c r="C20" s="808"/>
      <c r="D20" s="808">
        <f t="shared" si="1"/>
        <v>3.6440677922655595E-4</v>
      </c>
      <c r="E20" s="808">
        <f>SUM(E21:E23)</f>
        <v>3.6440677968130331E-4</v>
      </c>
      <c r="F20" s="808">
        <f t="shared" ref="F20:M20" si="3">SUM(F21:F23)</f>
        <v>512.73728813559364</v>
      </c>
      <c r="G20" s="808">
        <f t="shared" si="3"/>
        <v>2704.3559322033893</v>
      </c>
      <c r="H20" s="808">
        <f t="shared" si="3"/>
        <v>-2798.0423728813562</v>
      </c>
      <c r="I20" s="808">
        <f t="shared" si="3"/>
        <v>957.27118644067787</v>
      </c>
      <c r="J20" s="808">
        <f t="shared" si="3"/>
        <v>-1376.3220338983051</v>
      </c>
      <c r="K20" s="808">
        <f t="shared" si="3"/>
        <v>0</v>
      </c>
      <c r="L20" s="808">
        <f t="shared" si="3"/>
        <v>0</v>
      </c>
      <c r="M20" s="808">
        <f t="shared" si="3"/>
        <v>0</v>
      </c>
      <c r="N20" s="861"/>
    </row>
    <row r="21" spans="1:14" s="723" customFormat="1" ht="12" x14ac:dyDescent="0.2">
      <c r="A21" s="810" t="s">
        <v>687</v>
      </c>
      <c r="B21" s="811" t="s">
        <v>243</v>
      </c>
      <c r="C21" s="812"/>
      <c r="D21" s="812">
        <f t="shared" si="1"/>
        <v>3.6440677922655595E-4</v>
      </c>
      <c r="E21" s="812">
        <v>3.6440677968130331E-4</v>
      </c>
      <c r="F21" s="813">
        <v>512.73728813559364</v>
      </c>
      <c r="G21" s="813">
        <v>2704.3559322033893</v>
      </c>
      <c r="H21" s="813">
        <v>-2798.0423728813562</v>
      </c>
      <c r="I21" s="813">
        <v>957.27118644067787</v>
      </c>
      <c r="J21" s="813">
        <v>-1376.3220338983051</v>
      </c>
      <c r="K21" s="813">
        <v>0</v>
      </c>
      <c r="L21" s="813">
        <v>0</v>
      </c>
      <c r="M21" s="858">
        <v>0</v>
      </c>
      <c r="N21" s="862"/>
    </row>
    <row r="22" spans="1:14" s="723" customFormat="1" ht="12" x14ac:dyDescent="0.2">
      <c r="A22" s="814" t="s">
        <v>688</v>
      </c>
      <c r="B22" s="811" t="s">
        <v>245</v>
      </c>
      <c r="C22" s="812"/>
      <c r="D22" s="812">
        <f t="shared" si="1"/>
        <v>0</v>
      </c>
      <c r="E22" s="812"/>
      <c r="F22" s="813"/>
      <c r="G22" s="813"/>
      <c r="H22" s="813"/>
      <c r="I22" s="813"/>
      <c r="J22" s="813"/>
      <c r="K22" s="813"/>
      <c r="L22" s="813"/>
      <c r="M22" s="858"/>
      <c r="N22" s="862"/>
    </row>
    <row r="23" spans="1:14" s="723" customFormat="1" ht="12" x14ac:dyDescent="0.2">
      <c r="A23" s="815" t="s">
        <v>689</v>
      </c>
      <c r="B23" s="811" t="s">
        <v>1176</v>
      </c>
      <c r="C23" s="812"/>
      <c r="D23" s="812">
        <f t="shared" si="1"/>
        <v>0</v>
      </c>
      <c r="E23" s="812"/>
      <c r="F23" s="813"/>
      <c r="G23" s="813"/>
      <c r="H23" s="813"/>
      <c r="I23" s="813"/>
      <c r="J23" s="813"/>
      <c r="K23" s="813"/>
      <c r="L23" s="813"/>
      <c r="M23" s="858"/>
      <c r="N23" s="862"/>
    </row>
    <row r="24" spans="1:14" s="722" customFormat="1" ht="12" x14ac:dyDescent="0.2">
      <c r="A24" s="806" t="s">
        <v>695</v>
      </c>
      <c r="B24" s="807" t="s">
        <v>450</v>
      </c>
      <c r="C24" s="808"/>
      <c r="D24" s="808">
        <f t="shared" si="1"/>
        <v>0</v>
      </c>
      <c r="E24" s="808"/>
      <c r="F24" s="809"/>
      <c r="G24" s="809"/>
      <c r="H24" s="809"/>
      <c r="I24" s="809"/>
      <c r="J24" s="809"/>
      <c r="K24" s="809"/>
      <c r="L24" s="809"/>
      <c r="M24" s="859"/>
      <c r="N24" s="861"/>
    </row>
    <row r="25" spans="1:14" s="722" customFormat="1" ht="24" x14ac:dyDescent="0.2">
      <c r="A25" s="806" t="s">
        <v>700</v>
      </c>
      <c r="B25" s="807" t="s">
        <v>1177</v>
      </c>
      <c r="C25" s="808"/>
      <c r="D25" s="808">
        <f t="shared" si="1"/>
        <v>0</v>
      </c>
      <c r="E25" s="808"/>
      <c r="F25" s="809"/>
      <c r="G25" s="809"/>
      <c r="H25" s="809"/>
      <c r="I25" s="809"/>
      <c r="J25" s="809"/>
      <c r="K25" s="809"/>
      <c r="L25" s="809"/>
      <c r="M25" s="859"/>
      <c r="N25" s="861"/>
    </row>
    <row r="26" spans="1:14" s="722" customFormat="1" ht="12" x14ac:dyDescent="0.2">
      <c r="A26" s="806"/>
      <c r="B26" s="807" t="s">
        <v>940</v>
      </c>
      <c r="C26" s="808"/>
      <c r="D26" s="808">
        <f t="shared" si="1"/>
        <v>18798.351211864403</v>
      </c>
      <c r="E26" s="808">
        <f>E15+E20+E24+E25</f>
        <v>1706.0715508474577</v>
      </c>
      <c r="F26" s="808">
        <f t="shared" ref="F26:M26" si="4">F15+F20+F24+F25</f>
        <v>3043.805084745763</v>
      </c>
      <c r="G26" s="808">
        <f t="shared" si="4"/>
        <v>5365.9237288135591</v>
      </c>
      <c r="H26" s="808">
        <f t="shared" si="4"/>
        <v>0</v>
      </c>
      <c r="I26" s="808">
        <f t="shared" si="4"/>
        <v>3898.7966101694915</v>
      </c>
      <c r="J26" s="808">
        <f t="shared" si="4"/>
        <v>0</v>
      </c>
      <c r="K26" s="808">
        <f t="shared" si="4"/>
        <v>2379.2881355932204</v>
      </c>
      <c r="L26" s="808">
        <f t="shared" si="4"/>
        <v>2404.4661016949153</v>
      </c>
      <c r="M26" s="808">
        <f t="shared" si="4"/>
        <v>0</v>
      </c>
      <c r="N26" s="861"/>
    </row>
    <row r="27" spans="1:14" ht="25.5" x14ac:dyDescent="0.2">
      <c r="A27" s="692"/>
      <c r="B27" s="817" t="s">
        <v>1214</v>
      </c>
      <c r="C27" s="692"/>
      <c r="D27" s="849">
        <f>SUM(E27:M27)</f>
        <v>2327.3943286293206</v>
      </c>
      <c r="E27" s="849">
        <f>[1]Кредит!E123</f>
        <v>131.06494791666663</v>
      </c>
      <c r="F27" s="850">
        <f>[1]Кредит!E124</f>
        <v>257.46754187514273</v>
      </c>
      <c r="G27" s="850">
        <f>[1]Кредит!E125</f>
        <v>701.00992044247926</v>
      </c>
      <c r="H27" s="850">
        <f>[1]Кредит!E126</f>
        <v>299.91213198094101</v>
      </c>
      <c r="I27" s="850">
        <f>[1]Кредит!E127</f>
        <v>453.3194877501715</v>
      </c>
      <c r="J27" s="850">
        <f>[1]Кредит!E128</f>
        <v>117.11919928863324</v>
      </c>
      <c r="K27" s="850">
        <f>[1]Кредит!E129</f>
        <v>182.78342729180977</v>
      </c>
      <c r="L27" s="850">
        <f>[1]Кредит!E130</f>
        <v>184.71767208347651</v>
      </c>
      <c r="M27" s="860">
        <f>[1]Кредит!E131</f>
        <v>0</v>
      </c>
      <c r="N27" s="863"/>
    </row>
    <row r="28" spans="1:14" s="545" customFormat="1" ht="99" hidden="1" customHeight="1" x14ac:dyDescent="0.2">
      <c r="A28" s="1058" t="s">
        <v>1213</v>
      </c>
      <c r="B28" s="1058"/>
      <c r="C28" s="1058"/>
      <c r="D28" s="1058"/>
      <c r="E28" s="1058"/>
      <c r="F28" s="1058"/>
      <c r="G28" s="1058"/>
      <c r="H28" s="1058"/>
      <c r="I28" s="1058"/>
      <c r="J28" s="1058"/>
      <c r="K28" s="1058"/>
      <c r="L28" s="1058"/>
      <c r="M28" s="1058"/>
    </row>
    <row r="29" spans="1:14" ht="12.75" hidden="1" x14ac:dyDescent="0.2">
      <c r="D29" s="816"/>
      <c r="F29" s="436" t="s">
        <v>96</v>
      </c>
    </row>
    <row r="30" spans="1:14" ht="12.75" hidden="1" x14ac:dyDescent="0.2"/>
    <row r="31" spans="1:14" ht="12.75" x14ac:dyDescent="0.2">
      <c r="B31" s="436" t="s">
        <v>1285</v>
      </c>
      <c r="E31" s="436">
        <v>2410.5170670504726</v>
      </c>
      <c r="F31" s="436">
        <v>2532.5254213706162</v>
      </c>
      <c r="G31" s="436">
        <v>2661.564754564226</v>
      </c>
      <c r="H31" s="436">
        <v>2798.0441825447847</v>
      </c>
      <c r="I31" s="436">
        <v>2942.3969234277329</v>
      </c>
      <c r="J31" s="436">
        <v>3095.0817397132578</v>
      </c>
      <c r="K31" s="436">
        <v>3256.5844684195708</v>
      </c>
      <c r="L31" s="436">
        <v>3427.4196446520573</v>
      </c>
      <c r="M31" s="436">
        <v>3608.1322244445741</v>
      </c>
    </row>
    <row r="32" spans="1:14" ht="12.75" x14ac:dyDescent="0.2">
      <c r="B32" s="436" t="s">
        <v>1178</v>
      </c>
    </row>
    <row r="33" spans="2:13" ht="51" x14ac:dyDescent="0.2">
      <c r="B33" s="817" t="s">
        <v>1180</v>
      </c>
      <c r="C33" s="692"/>
      <c r="D33" s="818">
        <f>SUM(E33:M33)</f>
        <v>22182.054000000004</v>
      </c>
      <c r="E33" s="818">
        <v>2013.164</v>
      </c>
      <c r="F33" s="819">
        <v>2986.66</v>
      </c>
      <c r="G33" s="819">
        <v>3140.65</v>
      </c>
      <c r="H33" s="819">
        <v>3301.69</v>
      </c>
      <c r="I33" s="819">
        <v>3471</v>
      </c>
      <c r="J33" s="819">
        <v>1624.06</v>
      </c>
      <c r="K33" s="819">
        <v>2807.56</v>
      </c>
      <c r="L33" s="819">
        <v>2837.27</v>
      </c>
      <c r="M33" s="819">
        <v>0</v>
      </c>
    </row>
    <row r="34" spans="2:13" ht="12.75" x14ac:dyDescent="0.2">
      <c r="B34" s="817" t="s">
        <v>1181</v>
      </c>
      <c r="C34" s="692"/>
      <c r="D34" s="818">
        <f>SUM(E34:M34)</f>
        <v>18798.350847457627</v>
      </c>
      <c r="E34" s="818">
        <f>E33/1.18</f>
        <v>1706.071186440678</v>
      </c>
      <c r="F34" s="818">
        <f t="shared" ref="F34:M34" si="5">F33/1.18</f>
        <v>2531.0677966101694</v>
      </c>
      <c r="G34" s="818">
        <f t="shared" si="5"/>
        <v>2661.5677966101698</v>
      </c>
      <c r="H34" s="818">
        <f t="shared" si="5"/>
        <v>2798.0423728813562</v>
      </c>
      <c r="I34" s="818">
        <f t="shared" si="5"/>
        <v>2941.5254237288136</v>
      </c>
      <c r="J34" s="818">
        <f t="shared" si="5"/>
        <v>1376.3220338983051</v>
      </c>
      <c r="K34" s="818">
        <f t="shared" si="5"/>
        <v>2379.2881355932204</v>
      </c>
      <c r="L34" s="818">
        <f t="shared" si="5"/>
        <v>2404.4661016949153</v>
      </c>
      <c r="M34" s="820">
        <f t="shared" si="5"/>
        <v>0</v>
      </c>
    </row>
    <row r="35" spans="2:13" ht="12.75" x14ac:dyDescent="0.2">
      <c r="B35" s="692" t="s">
        <v>1215</v>
      </c>
      <c r="C35" s="692"/>
      <c r="D35" s="818">
        <f t="shared" ref="D35:D36" si="6">SUM(E35:M35)</f>
        <v>22182.049902001374</v>
      </c>
      <c r="E35" s="846">
        <f>'2 ИП ТС'!N58</f>
        <v>2013.16</v>
      </c>
      <c r="F35" s="846">
        <f>'2 ИП ТС'!O58</f>
        <v>3591.6899020013698</v>
      </c>
      <c r="G35" s="846">
        <f>'2 ИП ТС'!P58</f>
        <v>6331.79</v>
      </c>
      <c r="H35" s="846">
        <f>'2 ИП ТС'!Q58</f>
        <v>0</v>
      </c>
      <c r="I35" s="846">
        <f>'2 ИП ТС'!R58</f>
        <v>4600.58</v>
      </c>
      <c r="J35" s="846">
        <f>'2 ИП ТС'!S58</f>
        <v>0</v>
      </c>
      <c r="K35" s="846">
        <f>'2 ИП ТС'!T58</f>
        <v>2807.56</v>
      </c>
      <c r="L35" s="846">
        <f>'2 ИП ТС'!U58</f>
        <v>2837.27</v>
      </c>
      <c r="M35" s="846">
        <f>'2 ИП ТС'!V58</f>
        <v>0</v>
      </c>
    </row>
    <row r="36" spans="2:13" ht="12.75" x14ac:dyDescent="0.2">
      <c r="B36" s="692" t="s">
        <v>1216</v>
      </c>
      <c r="C36" s="692"/>
      <c r="D36" s="818">
        <f t="shared" si="6"/>
        <v>18798.347374577428</v>
      </c>
      <c r="E36" s="692">
        <f>E35/1.18</f>
        <v>1706.0677966101696</v>
      </c>
      <c r="F36" s="692">
        <f t="shared" ref="F36:M36" si="7">F35/1.18</f>
        <v>3043.805001696076</v>
      </c>
      <c r="G36" s="692">
        <f t="shared" si="7"/>
        <v>5365.9237288135591</v>
      </c>
      <c r="H36" s="692">
        <f t="shared" si="7"/>
        <v>0</v>
      </c>
      <c r="I36" s="692">
        <f t="shared" si="7"/>
        <v>3898.7966101694915</v>
      </c>
      <c r="J36" s="692">
        <f t="shared" si="7"/>
        <v>0</v>
      </c>
      <c r="K36" s="692">
        <f t="shared" si="7"/>
        <v>2379.2881355932204</v>
      </c>
      <c r="L36" s="692">
        <f t="shared" si="7"/>
        <v>2404.4661016949153</v>
      </c>
      <c r="M36" s="692">
        <f t="shared" si="7"/>
        <v>0</v>
      </c>
    </row>
    <row r="37" spans="2:13" ht="25.5" x14ac:dyDescent="0.2">
      <c r="B37" s="817" t="s">
        <v>1247</v>
      </c>
      <c r="C37" s="692"/>
      <c r="D37" s="818">
        <f>SUM(E37:M37)</f>
        <v>-3.4728801961136924E-3</v>
      </c>
      <c r="E37" s="813">
        <f>E36-E34</f>
        <v>-3.3898305084676394E-3</v>
      </c>
      <c r="F37" s="813">
        <f>F36-F34</f>
        <v>512.73720508590668</v>
      </c>
      <c r="G37" s="813">
        <f t="shared" ref="G37:M37" si="8">G36-G34</f>
        <v>2704.3559322033893</v>
      </c>
      <c r="H37" s="813">
        <f t="shared" si="8"/>
        <v>-2798.0423728813562</v>
      </c>
      <c r="I37" s="813">
        <f>I36-I34</f>
        <v>957.27118644067787</v>
      </c>
      <c r="J37" s="813">
        <f t="shared" si="8"/>
        <v>-1376.3220338983051</v>
      </c>
      <c r="K37" s="813">
        <f t="shared" si="8"/>
        <v>0</v>
      </c>
      <c r="L37" s="813">
        <f t="shared" si="8"/>
        <v>0</v>
      </c>
      <c r="M37" s="813">
        <f t="shared" si="8"/>
        <v>0</v>
      </c>
    </row>
    <row r="38" spans="2:13" ht="12.75" x14ac:dyDescent="0.2">
      <c r="G38" s="894"/>
    </row>
    <row r="39" spans="2:13" ht="12.75" x14ac:dyDescent="0.2"/>
    <row r="40" spans="2:13" ht="12.75" x14ac:dyDescent="0.2"/>
    <row r="41" spans="2:13" ht="12.75" x14ac:dyDescent="0.2"/>
    <row r="42" spans="2:13" ht="12.75" x14ac:dyDescent="0.2"/>
    <row r="43" spans="2:13" ht="12.75" x14ac:dyDescent="0.2"/>
    <row r="44" spans="2:13" ht="12.75" x14ac:dyDescent="0.2"/>
    <row r="45" spans="2:13" ht="12.75" x14ac:dyDescent="0.2"/>
    <row r="46" spans="2:13" ht="12.75" x14ac:dyDescent="0.2"/>
    <row r="47" spans="2:13" ht="12.75" x14ac:dyDescent="0.2"/>
    <row r="48" spans="2:13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</sheetData>
  <mergeCells count="23">
    <mergeCell ref="J1:M1"/>
    <mergeCell ref="M12:M13"/>
    <mergeCell ref="D3:E3"/>
    <mergeCell ref="A4:M4"/>
    <mergeCell ref="A5:M5"/>
    <mergeCell ref="A6:M6"/>
    <mergeCell ref="J3:M3"/>
    <mergeCell ref="A28:M28"/>
    <mergeCell ref="A7:M7"/>
    <mergeCell ref="A10:A13"/>
    <mergeCell ref="B10:B13"/>
    <mergeCell ref="C10:M10"/>
    <mergeCell ref="D11:D13"/>
    <mergeCell ref="E11:M11"/>
    <mergeCell ref="C12:C13"/>
    <mergeCell ref="E12:E13"/>
    <mergeCell ref="F12:F13"/>
    <mergeCell ref="G12:G13"/>
    <mergeCell ref="H12:H13"/>
    <mergeCell ref="I12:I13"/>
    <mergeCell ref="J12:J13"/>
    <mergeCell ref="K12:K13"/>
    <mergeCell ref="L12:L13"/>
  </mergeCells>
  <phoneticPr fontId="0" type="noConversion"/>
  <printOptions horizontalCentered="1" verticalCentered="1"/>
  <pageMargins left="0.19685039370078741" right="0.19685039370078741" top="0.55118110236220474" bottom="0.35433070866141736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view="pageBreakPreview" zoomScale="89" zoomScaleNormal="100" zoomScaleSheetLayoutView="89" workbookViewId="0">
      <selection activeCell="A7" sqref="A7:I7"/>
    </sheetView>
  </sheetViews>
  <sheetFormatPr defaultColWidth="9" defaultRowHeight="15.75" x14ac:dyDescent="0.25"/>
  <cols>
    <col min="1" max="1" width="44.125" style="1" customWidth="1"/>
    <col min="2" max="2" width="9.375" style="1" customWidth="1"/>
    <col min="3" max="3" width="11.25" style="1" customWidth="1"/>
    <col min="4" max="4" width="8.75" style="1" customWidth="1"/>
    <col min="5" max="8" width="8.5" style="1" customWidth="1"/>
    <col min="9" max="9" width="9.75" style="1" customWidth="1"/>
    <col min="10" max="16384" width="9" style="1"/>
  </cols>
  <sheetData>
    <row r="1" spans="1:9" ht="16.5" customHeight="1" x14ac:dyDescent="0.25">
      <c r="A1" s="460"/>
      <c r="B1" s="460"/>
      <c r="C1" s="460"/>
      <c r="D1" s="291"/>
      <c r="E1" s="291"/>
      <c r="F1" s="291"/>
      <c r="G1" s="291"/>
      <c r="H1" s="291"/>
      <c r="I1" s="4" t="s">
        <v>92</v>
      </c>
    </row>
    <row r="2" spans="1:9" ht="16.5" customHeight="1" x14ac:dyDescent="0.25">
      <c r="A2" s="460"/>
      <c r="B2" s="460"/>
      <c r="C2" s="460"/>
      <c r="D2" s="291"/>
      <c r="E2" s="291"/>
      <c r="F2" s="291"/>
      <c r="G2" s="291"/>
      <c r="H2" s="291"/>
      <c r="I2" s="504" t="s">
        <v>400</v>
      </c>
    </row>
    <row r="3" spans="1:9" ht="16.5" customHeight="1" x14ac:dyDescent="0.25">
      <c r="A3" s="460"/>
      <c r="B3" s="460"/>
      <c r="C3" s="460"/>
      <c r="D3" s="291"/>
      <c r="E3" s="291"/>
      <c r="F3" s="291"/>
      <c r="G3" s="291"/>
      <c r="H3" s="291"/>
      <c r="I3" s="4"/>
    </row>
    <row r="4" spans="1:9" ht="16.5" customHeight="1" x14ac:dyDescent="0.25">
      <c r="A4" s="460"/>
      <c r="B4" s="460"/>
      <c r="C4" s="460"/>
      <c r="D4" s="291"/>
      <c r="E4" s="291"/>
      <c r="F4" s="291"/>
      <c r="G4" s="291"/>
      <c r="H4" s="291"/>
      <c r="I4" s="504" t="s">
        <v>672</v>
      </c>
    </row>
    <row r="5" spans="1:9" ht="16.5" customHeight="1" x14ac:dyDescent="0.25">
      <c r="A5" s="460"/>
      <c r="B5" s="460"/>
      <c r="C5" s="460"/>
      <c r="D5" s="291"/>
      <c r="E5" s="291"/>
      <c r="F5" s="291"/>
      <c r="G5" s="291"/>
      <c r="H5" s="291"/>
      <c r="I5" s="4" t="s">
        <v>639</v>
      </c>
    </row>
    <row r="6" spans="1:9" ht="16.5" customHeight="1" x14ac:dyDescent="0.25">
      <c r="A6" s="460"/>
      <c r="B6" s="460"/>
      <c r="C6" s="460"/>
      <c r="D6" s="291"/>
      <c r="E6" s="291"/>
      <c r="F6" s="291"/>
      <c r="G6" s="291"/>
      <c r="H6" s="291"/>
      <c r="I6" s="4" t="s">
        <v>96</v>
      </c>
    </row>
    <row r="7" spans="1:9" ht="52.5" customHeight="1" x14ac:dyDescent="0.25">
      <c r="A7" s="1079" t="s">
        <v>624</v>
      </c>
      <c r="B7" s="1079"/>
      <c r="C7" s="1079"/>
      <c r="D7" s="907"/>
      <c r="E7" s="907"/>
      <c r="F7" s="907"/>
      <c r="G7" s="907"/>
      <c r="H7" s="907"/>
      <c r="I7" s="907"/>
    </row>
    <row r="8" spans="1:9" x14ac:dyDescent="0.25">
      <c r="I8" s="4" t="s">
        <v>632</v>
      </c>
    </row>
    <row r="9" spans="1:9" x14ac:dyDescent="0.25">
      <c r="A9" s="475"/>
      <c r="B9" s="476">
        <v>2014</v>
      </c>
      <c r="C9" s="476">
        <v>2015</v>
      </c>
      <c r="D9" s="477">
        <v>2016</v>
      </c>
      <c r="E9" s="476">
        <v>2017</v>
      </c>
      <c r="F9" s="477">
        <v>2018</v>
      </c>
      <c r="G9" s="476">
        <v>2019</v>
      </c>
      <c r="H9" s="477">
        <v>2020</v>
      </c>
      <c r="I9" s="476" t="s">
        <v>462</v>
      </c>
    </row>
    <row r="10" spans="1:9" x14ac:dyDescent="0.25">
      <c r="A10" s="474" t="s">
        <v>233</v>
      </c>
      <c r="B10" s="478" t="e">
        <f>B11</f>
        <v>#REF!</v>
      </c>
      <c r="C10" s="478" t="e">
        <f t="shared" ref="C10:I10" si="0">C11</f>
        <v>#REF!</v>
      </c>
      <c r="D10" s="478" t="e">
        <f t="shared" si="0"/>
        <v>#REF!</v>
      </c>
      <c r="E10" s="478" t="e">
        <f t="shared" si="0"/>
        <v>#REF!</v>
      </c>
      <c r="F10" s="478" t="e">
        <f t="shared" si="0"/>
        <v>#REF!</v>
      </c>
      <c r="G10" s="478" t="e">
        <f t="shared" si="0"/>
        <v>#REF!</v>
      </c>
      <c r="H10" s="478" t="e">
        <f t="shared" si="0"/>
        <v>#REF!</v>
      </c>
      <c r="I10" s="478" t="e">
        <f t="shared" si="0"/>
        <v>#REF!</v>
      </c>
    </row>
    <row r="11" spans="1:9" x14ac:dyDescent="0.25">
      <c r="A11" s="464" t="s">
        <v>631</v>
      </c>
      <c r="B11" s="479" t="e">
        <f>#REF!</f>
        <v>#REF!</v>
      </c>
      <c r="C11" s="479" t="e">
        <f>#REF!</f>
        <v>#REF!</v>
      </c>
      <c r="D11" s="479" t="e">
        <f>#REF!</f>
        <v>#REF!</v>
      </c>
      <c r="E11" s="479" t="e">
        <f>D11</f>
        <v>#REF!</v>
      </c>
      <c r="F11" s="479" t="e">
        <f>E11</f>
        <v>#REF!</v>
      </c>
      <c r="G11" s="479" t="e">
        <f>F11</f>
        <v>#REF!</v>
      </c>
      <c r="H11" s="479" t="e">
        <f>G11</f>
        <v>#REF!</v>
      </c>
      <c r="I11" s="479" t="e">
        <f>SUM(B11:H11)</f>
        <v>#REF!</v>
      </c>
    </row>
    <row r="12" spans="1:9" x14ac:dyDescent="0.25">
      <c r="A12" s="464" t="s">
        <v>590</v>
      </c>
      <c r="B12" s="482"/>
      <c r="C12" s="482"/>
      <c r="D12" s="483"/>
      <c r="E12" s="480"/>
      <c r="F12" s="480"/>
      <c r="G12" s="480"/>
      <c r="H12" s="480"/>
      <c r="I12" s="481"/>
    </row>
    <row r="13" spans="1:9" x14ac:dyDescent="0.25">
      <c r="A13" s="464" t="s">
        <v>591</v>
      </c>
      <c r="B13" s="481"/>
      <c r="C13" s="481"/>
      <c r="D13" s="481"/>
      <c r="E13" s="481"/>
      <c r="F13" s="481"/>
      <c r="G13" s="481"/>
      <c r="H13" s="481"/>
      <c r="I13" s="481"/>
    </row>
    <row r="14" spans="1:9" x14ac:dyDescent="0.25">
      <c r="A14" s="474" t="s">
        <v>592</v>
      </c>
      <c r="B14" s="496" t="e">
        <f>SUM(B16,B19)</f>
        <v>#REF!</v>
      </c>
      <c r="C14" s="478" t="e">
        <f t="shared" ref="C14:H14" si="1">SUM(C16,C19)</f>
        <v>#REF!</v>
      </c>
      <c r="D14" s="478" t="e">
        <f t="shared" si="1"/>
        <v>#REF!</v>
      </c>
      <c r="E14" s="478" t="e">
        <f t="shared" si="1"/>
        <v>#REF!</v>
      </c>
      <c r="F14" s="478" t="e">
        <f t="shared" si="1"/>
        <v>#REF!</v>
      </c>
      <c r="G14" s="478" t="e">
        <f t="shared" si="1"/>
        <v>#REF!</v>
      </c>
      <c r="H14" s="478" t="e">
        <f t="shared" si="1"/>
        <v>#REF!</v>
      </c>
      <c r="I14" s="478" t="e">
        <f>SUM(B14:H14)</f>
        <v>#REF!</v>
      </c>
    </row>
    <row r="15" spans="1:9" x14ac:dyDescent="0.25">
      <c r="A15" s="465" t="s">
        <v>593</v>
      </c>
      <c r="B15" s="481"/>
      <c r="C15" s="481"/>
      <c r="D15" s="481"/>
      <c r="E15" s="481"/>
      <c r="F15" s="481"/>
      <c r="G15" s="481"/>
      <c r="H15" s="481"/>
      <c r="I15" s="481"/>
    </row>
    <row r="16" spans="1:9" x14ac:dyDescent="0.25">
      <c r="A16" s="464" t="s">
        <v>631</v>
      </c>
      <c r="B16" s="479" t="e">
        <f>#REF!</f>
        <v>#REF!</v>
      </c>
      <c r="C16" s="479" t="e">
        <f>#REF!</f>
        <v>#REF!</v>
      </c>
      <c r="D16" s="479" t="e">
        <f>#REF!</f>
        <v>#REF!</v>
      </c>
      <c r="E16" s="479" t="e">
        <f>D16</f>
        <v>#REF!</v>
      </c>
      <c r="F16" s="479" t="e">
        <f>E16</f>
        <v>#REF!</v>
      </c>
      <c r="G16" s="479" t="e">
        <f>F16</f>
        <v>#REF!</v>
      </c>
      <c r="H16" s="479" t="e">
        <f>G16</f>
        <v>#REF!</v>
      </c>
      <c r="I16" s="479" t="e">
        <f>SUM(B16:H16)</f>
        <v>#REF!</v>
      </c>
    </row>
    <row r="17" spans="1:12" x14ac:dyDescent="0.25">
      <c r="A17" s="464" t="s">
        <v>590</v>
      </c>
      <c r="B17" s="479"/>
      <c r="C17" s="479"/>
      <c r="D17" s="479"/>
      <c r="E17" s="479"/>
      <c r="F17" s="479"/>
      <c r="G17" s="479"/>
      <c r="H17" s="479"/>
      <c r="I17" s="479"/>
    </row>
    <row r="18" spans="1:12" x14ac:dyDescent="0.25">
      <c r="A18" s="464" t="s">
        <v>591</v>
      </c>
      <c r="B18" s="479"/>
      <c r="C18" s="479"/>
      <c r="D18" s="479"/>
      <c r="E18" s="479"/>
      <c r="F18" s="479"/>
      <c r="G18" s="479"/>
      <c r="H18" s="479"/>
      <c r="I18" s="479"/>
    </row>
    <row r="19" spans="1:12" x14ac:dyDescent="0.25">
      <c r="A19" s="465" t="s">
        <v>594</v>
      </c>
      <c r="B19" s="479"/>
      <c r="C19" s="479"/>
      <c r="D19" s="479"/>
      <c r="E19" s="479"/>
      <c r="F19" s="479"/>
      <c r="G19" s="479"/>
      <c r="H19" s="479"/>
      <c r="I19" s="479"/>
    </row>
    <row r="20" spans="1:12" x14ac:dyDescent="0.25">
      <c r="A20" s="474" t="s">
        <v>595</v>
      </c>
      <c r="B20" s="478" t="e">
        <f>B10-B14</f>
        <v>#REF!</v>
      </c>
      <c r="C20" s="478" t="e">
        <f t="shared" ref="C20:H20" si="2">C10-C14</f>
        <v>#REF!</v>
      </c>
      <c r="D20" s="478" t="e">
        <f t="shared" si="2"/>
        <v>#REF!</v>
      </c>
      <c r="E20" s="478" t="e">
        <f>E10-E14</f>
        <v>#REF!</v>
      </c>
      <c r="F20" s="478" t="e">
        <f t="shared" si="2"/>
        <v>#REF!</v>
      </c>
      <c r="G20" s="478" t="e">
        <f t="shared" si="2"/>
        <v>#REF!</v>
      </c>
      <c r="H20" s="478" t="e">
        <f t="shared" si="2"/>
        <v>#REF!</v>
      </c>
      <c r="I20" s="478" t="e">
        <f>SUM(B20:H20)</f>
        <v>#REF!</v>
      </c>
    </row>
    <row r="21" spans="1:12" x14ac:dyDescent="0.25">
      <c r="A21" s="411" t="s">
        <v>596</v>
      </c>
      <c r="B21" s="481" t="e">
        <f>#REF!-B22</f>
        <v>#REF!</v>
      </c>
      <c r="C21" s="481" t="e">
        <f>#REF!-C22</f>
        <v>#REF!</v>
      </c>
      <c r="D21" s="481" t="e">
        <f>#REF!-D22</f>
        <v>#REF!</v>
      </c>
      <c r="E21" s="481" t="e">
        <f>D21</f>
        <v>#REF!</v>
      </c>
      <c r="F21" s="481" t="e">
        <f t="shared" ref="F21:H22" si="3">E21</f>
        <v>#REF!</v>
      </c>
      <c r="G21" s="481" t="e">
        <f t="shared" si="3"/>
        <v>#REF!</v>
      </c>
      <c r="H21" s="481" t="e">
        <f t="shared" si="3"/>
        <v>#REF!</v>
      </c>
      <c r="I21" s="479" t="e">
        <f>SUM(B21:H21)</f>
        <v>#REF!</v>
      </c>
    </row>
    <row r="22" spans="1:12" x14ac:dyDescent="0.25">
      <c r="A22" s="411" t="s">
        <v>373</v>
      </c>
      <c r="B22" s="479" t="e">
        <f>#REF!</f>
        <v>#REF!</v>
      </c>
      <c r="C22" s="479" t="e">
        <f>#REF!</f>
        <v>#REF!</v>
      </c>
      <c r="D22" s="479" t="e">
        <f>#REF!</f>
        <v>#REF!</v>
      </c>
      <c r="E22" s="479" t="e">
        <f>D22</f>
        <v>#REF!</v>
      </c>
      <c r="F22" s="479" t="e">
        <f t="shared" si="3"/>
        <v>#REF!</v>
      </c>
      <c r="G22" s="479" t="e">
        <f t="shared" si="3"/>
        <v>#REF!</v>
      </c>
      <c r="H22" s="479" t="e">
        <f t="shared" si="3"/>
        <v>#REF!</v>
      </c>
      <c r="I22" s="479" t="e">
        <f>SUM(B22:H22)</f>
        <v>#REF!</v>
      </c>
    </row>
    <row r="23" spans="1:12" x14ac:dyDescent="0.25">
      <c r="A23" s="411" t="s">
        <v>502</v>
      </c>
      <c r="B23" s="479" t="e">
        <f>#REF!</f>
        <v>#REF!</v>
      </c>
      <c r="C23" s="479" t="e">
        <f>#REF!</f>
        <v>#REF!</v>
      </c>
      <c r="D23" s="479" t="e">
        <f>#REF!</f>
        <v>#REF!</v>
      </c>
      <c r="E23" s="479" t="e">
        <f>D23</f>
        <v>#REF!</v>
      </c>
      <c r="F23" s="479" t="e">
        <f>$D$23</f>
        <v>#REF!</v>
      </c>
      <c r="G23" s="479" t="e">
        <f>$D$23</f>
        <v>#REF!</v>
      </c>
      <c r="H23" s="479" t="e">
        <f>$D$23</f>
        <v>#REF!</v>
      </c>
      <c r="I23" s="479" t="e">
        <f>SUM(B23:H23)</f>
        <v>#REF!</v>
      </c>
    </row>
    <row r="24" spans="1:12" x14ac:dyDescent="0.25">
      <c r="A24" s="474" t="s">
        <v>597</v>
      </c>
      <c r="B24" s="484" t="e">
        <f t="shared" ref="B24:H24" si="4">B20-B21-B22-B23</f>
        <v>#REF!</v>
      </c>
      <c r="C24" s="484" t="e">
        <f t="shared" si="4"/>
        <v>#REF!</v>
      </c>
      <c r="D24" s="484" t="e">
        <f t="shared" si="4"/>
        <v>#REF!</v>
      </c>
      <c r="E24" s="484" t="e">
        <f t="shared" si="4"/>
        <v>#REF!</v>
      </c>
      <c r="F24" s="484" t="e">
        <f t="shared" si="4"/>
        <v>#REF!</v>
      </c>
      <c r="G24" s="484" t="e">
        <f t="shared" si="4"/>
        <v>#REF!</v>
      </c>
      <c r="H24" s="484" t="e">
        <f t="shared" si="4"/>
        <v>#REF!</v>
      </c>
      <c r="I24" s="478" t="e">
        <f>SUM(B24:H24)</f>
        <v>#REF!</v>
      </c>
    </row>
    <row r="25" spans="1:12" x14ac:dyDescent="0.25">
      <c r="A25" s="411" t="s">
        <v>598</v>
      </c>
      <c r="B25" s="479"/>
      <c r="C25" s="479"/>
      <c r="D25" s="479"/>
      <c r="E25" s="479"/>
      <c r="F25" s="479"/>
      <c r="G25" s="479"/>
      <c r="H25" s="479"/>
      <c r="I25" s="479"/>
    </row>
    <row r="26" spans="1:12" x14ac:dyDescent="0.25">
      <c r="A26" s="411"/>
      <c r="B26" s="479"/>
      <c r="C26" s="479"/>
      <c r="D26" s="479"/>
      <c r="E26" s="479"/>
      <c r="F26" s="479"/>
      <c r="G26" s="479"/>
      <c r="H26" s="479"/>
      <c r="I26" s="479"/>
    </row>
    <row r="27" spans="1:12" x14ac:dyDescent="0.25">
      <c r="A27" s="474" t="s">
        <v>599</v>
      </c>
      <c r="B27" s="484"/>
      <c r="C27" s="484"/>
      <c r="D27" s="484"/>
      <c r="E27" s="484"/>
      <c r="F27" s="484"/>
      <c r="G27" s="484"/>
      <c r="H27" s="484"/>
      <c r="I27" s="484"/>
    </row>
    <row r="28" spans="1:12" x14ac:dyDescent="0.25">
      <c r="A28" s="474" t="s">
        <v>600</v>
      </c>
      <c r="B28" s="484" t="e">
        <f>B10+B31</f>
        <v>#REF!</v>
      </c>
      <c r="C28" s="484" t="e">
        <f>C10+C31</f>
        <v>#REF!</v>
      </c>
      <c r="D28" s="484" t="e">
        <f>D10+D31</f>
        <v>#REF!</v>
      </c>
      <c r="E28" s="500" t="e">
        <f>E10+E31</f>
        <v>#REF!</v>
      </c>
      <c r="F28" s="484" t="e">
        <f>F10</f>
        <v>#REF!</v>
      </c>
      <c r="G28" s="484" t="e">
        <f>G10</f>
        <v>#REF!</v>
      </c>
      <c r="H28" s="484" t="e">
        <f>H10</f>
        <v>#REF!</v>
      </c>
      <c r="I28" s="484" t="e">
        <f>SUM(B28:H28)</f>
        <v>#REF!</v>
      </c>
      <c r="K28" s="443"/>
    </row>
    <row r="29" spans="1:12" x14ac:dyDescent="0.25">
      <c r="A29" s="464" t="s">
        <v>631</v>
      </c>
      <c r="B29" s="479"/>
      <c r="C29" s="479"/>
      <c r="D29" s="479"/>
      <c r="E29" s="479"/>
      <c r="F29" s="479"/>
      <c r="G29" s="479"/>
      <c r="H29" s="479"/>
      <c r="I29" s="479"/>
    </row>
    <row r="30" spans="1:12" x14ac:dyDescent="0.25">
      <c r="A30" s="464" t="s">
        <v>590</v>
      </c>
      <c r="B30" s="479"/>
      <c r="C30" s="479"/>
      <c r="D30" s="479"/>
      <c r="E30" s="479"/>
      <c r="F30" s="479"/>
      <c r="G30" s="479"/>
      <c r="H30" s="479"/>
      <c r="I30" s="479"/>
      <c r="K30" s="443"/>
    </row>
    <row r="31" spans="1:12" x14ac:dyDescent="0.25">
      <c r="A31" s="464" t="s">
        <v>636</v>
      </c>
      <c r="B31" s="499" t="e">
        <f>#REF!</f>
        <v>#REF!</v>
      </c>
      <c r="C31" s="479" t="e">
        <f>Кредит!#REF!</f>
        <v>#REF!</v>
      </c>
      <c r="D31" s="479" t="e">
        <f>Кредит!#REF!</f>
        <v>#REF!</v>
      </c>
      <c r="E31" s="479"/>
      <c r="F31" s="479"/>
      <c r="G31" s="479"/>
      <c r="H31" s="479"/>
      <c r="I31" s="479"/>
    </row>
    <row r="32" spans="1:12" x14ac:dyDescent="0.25">
      <c r="A32" s="474" t="s">
        <v>601</v>
      </c>
      <c r="B32" s="497" t="e">
        <f>B14+B21+B22+B23-#REF!</f>
        <v>#REF!</v>
      </c>
      <c r="C32" s="484" t="e">
        <f>C14+C21+C22+C23-#REF!</f>
        <v>#REF!</v>
      </c>
      <c r="D32" s="484" t="e">
        <f>D14+D21+D22+D23-#REF!</f>
        <v>#REF!</v>
      </c>
      <c r="E32" s="484" t="e">
        <f>E14+E21+E22+E23-#REF!</f>
        <v>#REF!</v>
      </c>
      <c r="F32" s="484" t="e">
        <f>E32</f>
        <v>#REF!</v>
      </c>
      <c r="G32" s="484" t="e">
        <f>F32</f>
        <v>#REF!</v>
      </c>
      <c r="H32" s="484" t="e">
        <f>G32</f>
        <v>#REF!</v>
      </c>
      <c r="I32" s="484" t="e">
        <f>SUM(B32:H32)</f>
        <v>#REF!</v>
      </c>
      <c r="K32" s="443"/>
      <c r="L32" s="443"/>
    </row>
    <row r="33" spans="1:11" x14ac:dyDescent="0.25">
      <c r="A33" s="465" t="s">
        <v>602</v>
      </c>
      <c r="B33" s="499" t="e">
        <f>B32</f>
        <v>#REF!</v>
      </c>
      <c r="C33" s="499" t="e">
        <f t="shared" ref="C33:I34" si="5">C32</f>
        <v>#REF!</v>
      </c>
      <c r="D33" s="499" t="e">
        <f t="shared" si="5"/>
        <v>#REF!</v>
      </c>
      <c r="E33" s="499" t="e">
        <f t="shared" si="5"/>
        <v>#REF!</v>
      </c>
      <c r="F33" s="499" t="e">
        <f t="shared" si="5"/>
        <v>#REF!</v>
      </c>
      <c r="G33" s="499" t="e">
        <f t="shared" si="5"/>
        <v>#REF!</v>
      </c>
      <c r="H33" s="499" t="e">
        <f t="shared" si="5"/>
        <v>#REF!</v>
      </c>
      <c r="I33" s="499" t="e">
        <f t="shared" si="5"/>
        <v>#REF!</v>
      </c>
    </row>
    <row r="34" spans="1:11" x14ac:dyDescent="0.25">
      <c r="A34" s="464" t="s">
        <v>631</v>
      </c>
      <c r="B34" s="499" t="e">
        <f>B33</f>
        <v>#REF!</v>
      </c>
      <c r="C34" s="499" t="e">
        <f t="shared" si="5"/>
        <v>#REF!</v>
      </c>
      <c r="D34" s="499" t="e">
        <f t="shared" si="5"/>
        <v>#REF!</v>
      </c>
      <c r="E34" s="499" t="e">
        <f t="shared" si="5"/>
        <v>#REF!</v>
      </c>
      <c r="F34" s="499" t="e">
        <f t="shared" si="5"/>
        <v>#REF!</v>
      </c>
      <c r="G34" s="499" t="e">
        <f t="shared" si="5"/>
        <v>#REF!</v>
      </c>
      <c r="H34" s="499" t="e">
        <f t="shared" si="5"/>
        <v>#REF!</v>
      </c>
      <c r="I34" s="499" t="e">
        <f t="shared" si="5"/>
        <v>#REF!</v>
      </c>
      <c r="K34" s="443" t="e">
        <f>#REF!+#REF!+#REF!</f>
        <v>#REF!</v>
      </c>
    </row>
    <row r="35" spans="1:11" x14ac:dyDescent="0.25">
      <c r="A35" s="464" t="s">
        <v>590</v>
      </c>
      <c r="B35" s="481"/>
      <c r="C35" s="481"/>
      <c r="D35" s="480"/>
      <c r="E35" s="480"/>
      <c r="F35" s="480"/>
      <c r="G35" s="480"/>
      <c r="H35" s="480"/>
      <c r="I35" s="481"/>
    </row>
    <row r="36" spans="1:11" x14ac:dyDescent="0.25">
      <c r="A36" s="464" t="s">
        <v>591</v>
      </c>
      <c r="B36" s="481"/>
      <c r="C36" s="481"/>
      <c r="D36" s="480"/>
      <c r="E36" s="480"/>
      <c r="F36" s="480"/>
      <c r="G36" s="480"/>
      <c r="H36" s="480"/>
      <c r="I36" s="481"/>
    </row>
    <row r="37" spans="1:11" x14ac:dyDescent="0.25">
      <c r="A37" s="465" t="s">
        <v>603</v>
      </c>
      <c r="B37" s="481"/>
      <c r="C37" s="481"/>
      <c r="D37" s="480"/>
      <c r="E37" s="480"/>
      <c r="F37" s="480"/>
      <c r="G37" s="480"/>
      <c r="H37" s="480"/>
      <c r="I37" s="481"/>
    </row>
    <row r="38" spans="1:11" x14ac:dyDescent="0.25">
      <c r="A38" s="465" t="s">
        <v>604</v>
      </c>
      <c r="B38" s="481"/>
      <c r="C38" s="481"/>
      <c r="D38" s="480"/>
      <c r="E38" s="480"/>
      <c r="F38" s="480"/>
      <c r="G38" s="480"/>
      <c r="H38" s="480"/>
      <c r="I38" s="481"/>
    </row>
    <row r="39" spans="1:11" x14ac:dyDescent="0.25">
      <c r="A39" s="474" t="s">
        <v>605</v>
      </c>
      <c r="B39" s="478" t="e">
        <f>B28-B32</f>
        <v>#REF!</v>
      </c>
      <c r="C39" s="478" t="e">
        <f t="shared" ref="C39:H39" si="6">C28-C32</f>
        <v>#REF!</v>
      </c>
      <c r="D39" s="478" t="e">
        <f t="shared" si="6"/>
        <v>#REF!</v>
      </c>
      <c r="E39" s="478" t="e">
        <f>E28-E32</f>
        <v>#REF!</v>
      </c>
      <c r="F39" s="478" t="e">
        <f t="shared" si="6"/>
        <v>#REF!</v>
      </c>
      <c r="G39" s="478" t="e">
        <f t="shared" si="6"/>
        <v>#REF!</v>
      </c>
      <c r="H39" s="478" t="e">
        <f t="shared" si="6"/>
        <v>#REF!</v>
      </c>
      <c r="I39" s="478" t="e">
        <f>SUM(B39:H39)</f>
        <v>#REF!</v>
      </c>
      <c r="K39" s="443"/>
    </row>
    <row r="40" spans="1:11" x14ac:dyDescent="0.25">
      <c r="A40" s="474" t="s">
        <v>606</v>
      </c>
      <c r="B40" s="478"/>
      <c r="C40" s="478"/>
      <c r="D40" s="485"/>
      <c r="E40" s="485"/>
      <c r="F40" s="485"/>
      <c r="G40" s="485"/>
      <c r="H40" s="485"/>
      <c r="I40" s="478"/>
    </row>
    <row r="41" spans="1:11" x14ac:dyDescent="0.25">
      <c r="A41" s="411" t="s">
        <v>600</v>
      </c>
      <c r="B41" s="481"/>
      <c r="C41" s="481"/>
      <c r="D41" s="480"/>
      <c r="E41" s="480"/>
      <c r="F41" s="480"/>
      <c r="G41" s="480"/>
      <c r="H41" s="480"/>
      <c r="I41" s="481"/>
    </row>
    <row r="42" spans="1:11" x14ac:dyDescent="0.25">
      <c r="A42" s="411" t="s">
        <v>601</v>
      </c>
      <c r="B42" s="481" t="e">
        <f>#REF!</f>
        <v>#REF!</v>
      </c>
      <c r="C42" s="481" t="e">
        <f>#REF!</f>
        <v>#REF!</v>
      </c>
      <c r="D42" s="481" t="e">
        <f>#REF!</f>
        <v>#REF!</v>
      </c>
      <c r="E42" s="481">
        <v>84.87307197248208</v>
      </c>
      <c r="F42" s="481">
        <v>84.87307197248208</v>
      </c>
      <c r="G42" s="481">
        <v>84.87307197248208</v>
      </c>
      <c r="H42" s="481">
        <v>84.87307197248208</v>
      </c>
      <c r="I42" s="481" t="e">
        <f>SUM(B42:H42)</f>
        <v>#REF!</v>
      </c>
    </row>
    <row r="43" spans="1:11" x14ac:dyDescent="0.25">
      <c r="A43" s="474" t="s">
        <v>607</v>
      </c>
      <c r="B43" s="478" t="e">
        <f>B41-B42</f>
        <v>#REF!</v>
      </c>
      <c r="C43" s="478" t="e">
        <f t="shared" ref="C43:H43" si="7">C41-C42</f>
        <v>#REF!</v>
      </c>
      <c r="D43" s="478" t="e">
        <f t="shared" si="7"/>
        <v>#REF!</v>
      </c>
      <c r="E43" s="478">
        <f t="shared" si="7"/>
        <v>-84.87307197248208</v>
      </c>
      <c r="F43" s="478">
        <f t="shared" si="7"/>
        <v>-84.87307197248208</v>
      </c>
      <c r="G43" s="478">
        <f t="shared" si="7"/>
        <v>-84.87307197248208</v>
      </c>
      <c r="H43" s="478">
        <f t="shared" si="7"/>
        <v>-84.87307197248208</v>
      </c>
      <c r="I43" s="478" t="e">
        <f>SUM(B43:H43)</f>
        <v>#REF!</v>
      </c>
    </row>
    <row r="44" spans="1:11" x14ac:dyDescent="0.25">
      <c r="A44" s="474" t="s">
        <v>608</v>
      </c>
      <c r="B44" s="478"/>
      <c r="C44" s="478"/>
      <c r="D44" s="485"/>
      <c r="E44" s="485"/>
      <c r="F44" s="485"/>
      <c r="G44" s="485"/>
      <c r="H44" s="485"/>
      <c r="I44" s="478"/>
    </row>
    <row r="45" spans="1:11" x14ac:dyDescent="0.25">
      <c r="A45" s="411" t="s">
        <v>600</v>
      </c>
      <c r="B45" s="481"/>
      <c r="C45" s="481"/>
      <c r="D45" s="480"/>
      <c r="E45" s="480"/>
      <c r="F45" s="480"/>
      <c r="G45" s="480"/>
      <c r="H45" s="480"/>
      <c r="I45" s="481"/>
    </row>
    <row r="46" spans="1:11" x14ac:dyDescent="0.25">
      <c r="A46" s="465" t="s">
        <v>609</v>
      </c>
      <c r="B46" s="481"/>
      <c r="C46" s="481"/>
      <c r="D46" s="480"/>
      <c r="E46" s="480"/>
      <c r="F46" s="480"/>
      <c r="G46" s="480"/>
      <c r="H46" s="480"/>
      <c r="I46" s="481"/>
    </row>
    <row r="47" spans="1:11" x14ac:dyDescent="0.25">
      <c r="A47" s="465" t="s">
        <v>610</v>
      </c>
      <c r="B47" s="498" t="e">
        <f>#REF!</f>
        <v>#REF!</v>
      </c>
      <c r="C47" s="481" t="e">
        <f>#REF!</f>
        <v>#REF!</v>
      </c>
      <c r="D47" s="481" t="e">
        <f>#REF!</f>
        <v>#REF!</v>
      </c>
      <c r="E47" s="481"/>
      <c r="F47" s="481"/>
      <c r="G47" s="481"/>
      <c r="H47" s="481"/>
      <c r="I47" s="481" t="e">
        <f>SUM(B47:H47)</f>
        <v>#REF!</v>
      </c>
    </row>
    <row r="48" spans="1:11" x14ac:dyDescent="0.25">
      <c r="A48" s="411" t="s">
        <v>601</v>
      </c>
      <c r="B48" s="498"/>
      <c r="C48" s="481"/>
      <c r="D48" s="481"/>
      <c r="E48" s="481"/>
      <c r="F48" s="481"/>
      <c r="G48" s="481"/>
      <c r="H48" s="481"/>
      <c r="I48" s="481"/>
    </row>
    <row r="49" spans="1:11" x14ac:dyDescent="0.25">
      <c r="A49" s="465" t="s">
        <v>611</v>
      </c>
      <c r="B49" s="498" t="e">
        <f>#REF!</f>
        <v>#REF!</v>
      </c>
      <c r="C49" s="481" t="e">
        <f>#REF!</f>
        <v>#REF!</v>
      </c>
      <c r="D49" s="481" t="e">
        <f>#REF!</f>
        <v>#REF!</v>
      </c>
      <c r="E49" s="481"/>
      <c r="F49" s="481"/>
      <c r="G49" s="481"/>
      <c r="H49" s="481"/>
      <c r="I49" s="481" t="e">
        <f>SUM(B49:H49)</f>
        <v>#REF!</v>
      </c>
    </row>
    <row r="50" spans="1:11" x14ac:dyDescent="0.25">
      <c r="A50" s="474" t="s">
        <v>612</v>
      </c>
      <c r="B50" s="478" t="e">
        <f>B47-B49</f>
        <v>#REF!</v>
      </c>
      <c r="C50" s="478" t="e">
        <f t="shared" ref="C50:H50" si="8">C47-C49</f>
        <v>#REF!</v>
      </c>
      <c r="D50" s="478" t="e">
        <f t="shared" si="8"/>
        <v>#REF!</v>
      </c>
      <c r="E50" s="478">
        <f t="shared" si="8"/>
        <v>0</v>
      </c>
      <c r="F50" s="478">
        <f t="shared" si="8"/>
        <v>0</v>
      </c>
      <c r="G50" s="478">
        <f t="shared" si="8"/>
        <v>0</v>
      </c>
      <c r="H50" s="478">
        <f t="shared" si="8"/>
        <v>0</v>
      </c>
      <c r="I50" s="478" t="e">
        <f>SUM(B50:H50)</f>
        <v>#REF!</v>
      </c>
      <c r="K50" s="443"/>
    </row>
    <row r="51" spans="1:11" x14ac:dyDescent="0.25">
      <c r="A51" s="486" t="s">
        <v>613</v>
      </c>
      <c r="B51" s="487" t="e">
        <f>B39+B43+B50</f>
        <v>#REF!</v>
      </c>
      <c r="C51" s="487" t="e">
        <f t="shared" ref="C51:H51" si="9">C39+C43+C50</f>
        <v>#REF!</v>
      </c>
      <c r="D51" s="487" t="e">
        <f t="shared" si="9"/>
        <v>#REF!</v>
      </c>
      <c r="E51" s="487" t="e">
        <f>E39+E43+E50</f>
        <v>#REF!</v>
      </c>
      <c r="F51" s="487" t="e">
        <f t="shared" si="9"/>
        <v>#REF!</v>
      </c>
      <c r="G51" s="487" t="e">
        <f t="shared" si="9"/>
        <v>#REF!</v>
      </c>
      <c r="H51" s="487" t="e">
        <f t="shared" si="9"/>
        <v>#REF!</v>
      </c>
      <c r="I51" s="487" t="e">
        <f>SUM(B51:H51)</f>
        <v>#REF!</v>
      </c>
    </row>
    <row r="52" spans="1:11" x14ac:dyDescent="0.25">
      <c r="A52" s="411" t="s">
        <v>614</v>
      </c>
      <c r="B52" s="481"/>
      <c r="C52" s="481"/>
      <c r="D52" s="480"/>
      <c r="E52" s="480"/>
      <c r="F52" s="480"/>
      <c r="G52" s="480"/>
      <c r="H52" s="480"/>
      <c r="I52" s="481"/>
    </row>
    <row r="53" spans="1:11" x14ac:dyDescent="0.25">
      <c r="A53" s="466" t="s">
        <v>615</v>
      </c>
      <c r="B53" s="481"/>
      <c r="C53" s="481"/>
      <c r="D53" s="480"/>
      <c r="E53" s="480"/>
      <c r="F53" s="480"/>
      <c r="G53" s="480"/>
      <c r="H53" s="480"/>
      <c r="I53" s="481"/>
    </row>
    <row r="54" spans="1:11" x14ac:dyDescent="0.25">
      <c r="A54" s="466" t="s">
        <v>625</v>
      </c>
      <c r="B54" s="481"/>
      <c r="C54" s="481"/>
      <c r="D54" s="480"/>
      <c r="E54" s="480"/>
      <c r="F54" s="480"/>
      <c r="G54" s="480"/>
      <c r="H54" s="480"/>
      <c r="I54" s="481"/>
    </row>
    <row r="55" spans="1:11" x14ac:dyDescent="0.25">
      <c r="A55" s="466" t="s">
        <v>616</v>
      </c>
      <c r="B55" s="481"/>
      <c r="C55" s="481"/>
      <c r="D55" s="480"/>
      <c r="E55" s="480"/>
      <c r="F55" s="480"/>
      <c r="G55" s="480"/>
      <c r="H55" s="480"/>
      <c r="I55" s="481"/>
    </row>
    <row r="56" spans="1:11" x14ac:dyDescent="0.25">
      <c r="A56" s="466" t="s">
        <v>617</v>
      </c>
      <c r="B56" s="481"/>
      <c r="C56" s="481"/>
      <c r="D56" s="480"/>
      <c r="E56" s="480"/>
      <c r="F56" s="480"/>
      <c r="G56" s="480"/>
      <c r="H56" s="480"/>
      <c r="I56" s="481"/>
    </row>
    <row r="57" spans="1:11" x14ac:dyDescent="0.25">
      <c r="A57" s="474" t="s">
        <v>613</v>
      </c>
      <c r="B57" s="478" t="e">
        <f t="shared" ref="B57:H57" si="10">B51+B52</f>
        <v>#REF!</v>
      </c>
      <c r="C57" s="478" t="e">
        <f t="shared" si="10"/>
        <v>#REF!</v>
      </c>
      <c r="D57" s="478" t="e">
        <f t="shared" si="10"/>
        <v>#REF!</v>
      </c>
      <c r="E57" s="478" t="e">
        <f t="shared" si="10"/>
        <v>#REF!</v>
      </c>
      <c r="F57" s="478" t="e">
        <f t="shared" si="10"/>
        <v>#REF!</v>
      </c>
      <c r="G57" s="478" t="e">
        <f t="shared" si="10"/>
        <v>#REF!</v>
      </c>
      <c r="H57" s="478" t="e">
        <f t="shared" si="10"/>
        <v>#REF!</v>
      </c>
      <c r="I57" s="478" t="e">
        <f>SUM(B57:H57)</f>
        <v>#REF!</v>
      </c>
    </row>
    <row r="58" spans="1:11" x14ac:dyDescent="0.25">
      <c r="A58" s="411" t="s">
        <v>618</v>
      </c>
      <c r="B58" s="481"/>
      <c r="C58" s="481"/>
      <c r="D58" s="480"/>
      <c r="E58" s="480"/>
      <c r="F58" s="480"/>
      <c r="G58" s="480"/>
      <c r="H58" s="480"/>
      <c r="I58" s="481"/>
    </row>
    <row r="59" spans="1:11" x14ac:dyDescent="0.25">
      <c r="A59" s="466" t="s">
        <v>619</v>
      </c>
      <c r="B59" s="481">
        <v>0</v>
      </c>
      <c r="C59" s="481" t="e">
        <f>B59+B57</f>
        <v>#REF!</v>
      </c>
      <c r="D59" s="480" t="e">
        <f>C59+C57</f>
        <v>#REF!</v>
      </c>
      <c r="E59" s="480" t="e">
        <f>D57+D59</f>
        <v>#REF!</v>
      </c>
      <c r="F59" s="480" t="e">
        <f>E57+E59</f>
        <v>#REF!</v>
      </c>
      <c r="G59" s="480" t="e">
        <f>F57+F59</f>
        <v>#REF!</v>
      </c>
      <c r="H59" s="480" t="e">
        <f>G57+G59</f>
        <v>#REF!</v>
      </c>
      <c r="I59" s="481"/>
    </row>
    <row r="60" spans="1:11" x14ac:dyDescent="0.25">
      <c r="A60" s="411" t="s">
        <v>620</v>
      </c>
      <c r="B60" s="481" t="e">
        <f>B47</f>
        <v>#REF!</v>
      </c>
      <c r="C60" s="481" t="e">
        <f t="shared" ref="C60:H60" si="11">C47</f>
        <v>#REF!</v>
      </c>
      <c r="D60" s="481" t="e">
        <f t="shared" si="11"/>
        <v>#REF!</v>
      </c>
      <c r="E60" s="481">
        <f t="shared" si="11"/>
        <v>0</v>
      </c>
      <c r="F60" s="481">
        <f t="shared" si="11"/>
        <v>0</v>
      </c>
      <c r="G60" s="481">
        <f t="shared" si="11"/>
        <v>0</v>
      </c>
      <c r="H60" s="481">
        <f t="shared" si="11"/>
        <v>0</v>
      </c>
      <c r="I60" s="481"/>
    </row>
    <row r="61" spans="1:11" x14ac:dyDescent="0.25">
      <c r="A61" s="411" t="s">
        <v>621</v>
      </c>
      <c r="B61" s="481" t="e">
        <f>B50</f>
        <v>#REF!</v>
      </c>
      <c r="C61" s="481" t="e">
        <f t="shared" ref="C61:H61" si="12">C50</f>
        <v>#REF!</v>
      </c>
      <c r="D61" s="481" t="e">
        <f t="shared" si="12"/>
        <v>#REF!</v>
      </c>
      <c r="E61" s="481">
        <f t="shared" si="12"/>
        <v>0</v>
      </c>
      <c r="F61" s="481">
        <f t="shared" si="12"/>
        <v>0</v>
      </c>
      <c r="G61" s="481">
        <f t="shared" si="12"/>
        <v>0</v>
      </c>
      <c r="H61" s="481">
        <f t="shared" si="12"/>
        <v>0</v>
      </c>
      <c r="I61" s="481"/>
    </row>
    <row r="63" spans="1:11" x14ac:dyDescent="0.25">
      <c r="B63" s="1" t="s">
        <v>635</v>
      </c>
      <c r="F63" s="1" t="s">
        <v>637</v>
      </c>
    </row>
  </sheetData>
  <mergeCells count="1">
    <mergeCell ref="A7:I7"/>
  </mergeCells>
  <pageMargins left="0.59055118110236227" right="0.15748031496062992" top="0.35433070866141736" bottom="0.19685039370078741" header="0.47244094488188981" footer="0.31496062992125984"/>
  <pageSetup paperSize="9" scale="7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50"/>
  <sheetViews>
    <sheetView view="pageBreakPreview" topLeftCell="A7" zoomScaleNormal="100" zoomScaleSheetLayoutView="100" workbookViewId="0">
      <pane xSplit="2" ySplit="7" topLeftCell="J14" activePane="bottomRight" state="frozen"/>
      <selection activeCell="A7" sqref="A7"/>
      <selection pane="topRight" activeCell="C7" sqref="C7"/>
      <selection pane="bottomLeft" activeCell="A14" sqref="A14"/>
      <selection pane="bottomRight" activeCell="B17" sqref="B17"/>
    </sheetView>
  </sheetViews>
  <sheetFormatPr defaultColWidth="9" defaultRowHeight="15.75" outlineLevelRow="1" outlineLevelCol="1" x14ac:dyDescent="0.25"/>
  <cols>
    <col min="1" max="1" width="9.125" style="1" bestFit="1" customWidth="1"/>
    <col min="2" max="2" width="23.75" style="1" customWidth="1"/>
    <col min="3" max="3" width="12.125" style="526" customWidth="1"/>
    <col min="4" max="4" width="9.25" style="17" customWidth="1"/>
    <col min="5" max="5" width="13.25" style="17" customWidth="1"/>
    <col min="6" max="6" width="9.75" style="17" customWidth="1"/>
    <col min="7" max="7" width="10.875" style="17" customWidth="1"/>
    <col min="8" max="8" width="14.75" style="17" customWidth="1"/>
    <col min="9" max="9" width="13.75" style="1" customWidth="1" outlineLevel="1"/>
    <col min="10" max="10" width="10.75" style="1" customWidth="1" outlineLevel="1"/>
    <col min="11" max="12" width="13.5" style="1" customWidth="1" outlineLevel="1"/>
    <col min="13" max="13" width="11" style="1" customWidth="1" outlineLevel="1"/>
    <col min="14" max="14" width="13.5" style="1" customWidth="1" outlineLevel="1"/>
    <col min="15" max="15" width="11.75" style="1" customWidth="1" outlineLevel="1"/>
    <col min="16" max="16" width="9.5" style="1" customWidth="1" outlineLevel="1"/>
    <col min="17" max="17" width="13.25" style="1" customWidth="1" outlineLevel="1"/>
    <col min="18" max="20" width="13.5" style="1" hidden="1" customWidth="1" outlineLevel="1"/>
    <col min="21" max="21" width="9" style="1" collapsed="1"/>
    <col min="22" max="16384" width="9" style="1"/>
  </cols>
  <sheetData>
    <row r="1" spans="1:22" ht="20.25" outlineLevel="1" x14ac:dyDescent="0.3">
      <c r="I1" s="413"/>
      <c r="J1" s="413"/>
      <c r="K1" s="413"/>
      <c r="L1" s="413"/>
      <c r="M1" s="413"/>
      <c r="N1" s="413"/>
      <c r="O1" s="413"/>
      <c r="P1" s="413"/>
      <c r="Q1" s="412" t="s">
        <v>92</v>
      </c>
      <c r="R1" s="413"/>
      <c r="S1" s="413"/>
      <c r="T1" s="412" t="s">
        <v>92</v>
      </c>
    </row>
    <row r="2" spans="1:22" ht="20.25" outlineLevel="1" x14ac:dyDescent="0.3">
      <c r="I2" s="2"/>
      <c r="J2" s="2"/>
      <c r="K2" s="2"/>
      <c r="L2" s="2"/>
      <c r="M2" s="2"/>
      <c r="N2" s="2"/>
      <c r="O2" s="2"/>
      <c r="P2" s="2"/>
      <c r="Q2" s="412" t="s">
        <v>400</v>
      </c>
      <c r="R2" s="2"/>
      <c r="S2" s="2"/>
      <c r="T2" s="412" t="s">
        <v>414</v>
      </c>
    </row>
    <row r="3" spans="1:22" ht="20.25" outlineLevel="1" x14ac:dyDescent="0.3"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</row>
    <row r="4" spans="1:22" ht="20.25" outlineLevel="1" x14ac:dyDescent="0.3">
      <c r="I4" s="495"/>
      <c r="Q4" s="412" t="s">
        <v>672</v>
      </c>
      <c r="T4" s="412" t="s">
        <v>622</v>
      </c>
    </row>
    <row r="5" spans="1:22" ht="20.25" outlineLevel="1" x14ac:dyDescent="0.3">
      <c r="I5" s="443"/>
      <c r="J5" s="443"/>
      <c r="L5" s="443"/>
      <c r="M5" s="443"/>
      <c r="Q5" s="412" t="s">
        <v>638</v>
      </c>
      <c r="T5" s="412" t="s">
        <v>401</v>
      </c>
    </row>
    <row r="6" spans="1:22" ht="20.25" x14ac:dyDescent="0.3">
      <c r="I6" s="443"/>
      <c r="J6" s="443"/>
      <c r="L6" s="443"/>
      <c r="M6" s="443"/>
      <c r="Q6" s="412"/>
      <c r="T6" s="412"/>
    </row>
    <row r="7" spans="1:22" ht="25.5" x14ac:dyDescent="0.35">
      <c r="A7" s="1082" t="s">
        <v>404</v>
      </c>
      <c r="B7" s="1082"/>
      <c r="C7" s="1082"/>
      <c r="D7" s="1082"/>
      <c r="E7" s="1082"/>
      <c r="F7" s="1082"/>
      <c r="G7" s="1082"/>
      <c r="H7" s="1082"/>
      <c r="I7" s="1082"/>
      <c r="J7" s="1082"/>
      <c r="K7" s="1082"/>
      <c r="L7" s="1082"/>
      <c r="M7" s="1082"/>
      <c r="N7" s="1082"/>
      <c r="O7" s="1082"/>
      <c r="P7" s="1082"/>
      <c r="Q7" s="1082"/>
    </row>
    <row r="8" spans="1:22" ht="20.25" x14ac:dyDescent="0.3">
      <c r="A8" s="1083" t="s">
        <v>671</v>
      </c>
      <c r="B8" s="1083"/>
      <c r="C8" s="1083"/>
      <c r="D8" s="1083"/>
      <c r="E8" s="1083"/>
      <c r="F8" s="1083"/>
      <c r="G8" s="1083"/>
      <c r="H8" s="1083"/>
      <c r="I8" s="1083"/>
      <c r="J8" s="1083"/>
      <c r="K8" s="1083"/>
      <c r="L8" s="1083"/>
      <c r="M8" s="1083"/>
      <c r="N8" s="1083"/>
      <c r="O8" s="1083"/>
      <c r="P8" s="1083"/>
      <c r="Q8" s="1083"/>
    </row>
    <row r="10" spans="1:22" x14ac:dyDescent="0.25">
      <c r="A10" s="1080" t="s">
        <v>431</v>
      </c>
      <c r="B10" s="1080" t="s">
        <v>454</v>
      </c>
      <c r="C10" s="1084" t="s">
        <v>405</v>
      </c>
      <c r="D10" s="1080" t="s">
        <v>406</v>
      </c>
      <c r="E10" s="1080"/>
      <c r="F10" s="1080"/>
      <c r="G10" s="1080"/>
      <c r="H10" s="1080" t="s">
        <v>88</v>
      </c>
      <c r="I10" s="1085" t="s">
        <v>230</v>
      </c>
      <c r="J10" s="1085"/>
      <c r="K10" s="1085"/>
      <c r="L10" s="1085"/>
      <c r="M10" s="1085"/>
      <c r="N10" s="1085"/>
      <c r="O10" s="1085"/>
      <c r="P10" s="1085"/>
      <c r="Q10" s="1085"/>
      <c r="R10" s="1085"/>
      <c r="S10" s="1085"/>
      <c r="T10" s="1085"/>
    </row>
    <row r="11" spans="1:22" x14ac:dyDescent="0.25">
      <c r="A11" s="1080"/>
      <c r="B11" s="1080"/>
      <c r="C11" s="1084"/>
      <c r="D11" s="1080" t="s">
        <v>407</v>
      </c>
      <c r="E11" s="1080" t="s">
        <v>408</v>
      </c>
      <c r="F11" s="1080" t="s">
        <v>658</v>
      </c>
      <c r="G11" s="1080" t="s">
        <v>229</v>
      </c>
      <c r="H11" s="1080"/>
      <c r="I11" s="1081" t="s">
        <v>403</v>
      </c>
      <c r="J11" s="1081"/>
      <c r="K11" s="1081"/>
      <c r="L11" s="1081" t="s">
        <v>412</v>
      </c>
      <c r="M11" s="1081"/>
      <c r="N11" s="1081"/>
      <c r="O11" s="1081" t="s">
        <v>634</v>
      </c>
      <c r="P11" s="1081"/>
      <c r="Q11" s="1081"/>
      <c r="R11" s="1081" t="s">
        <v>634</v>
      </c>
      <c r="S11" s="1081"/>
      <c r="T11" s="1081"/>
    </row>
    <row r="12" spans="1:22" ht="73.5" customHeight="1" x14ac:dyDescent="0.25">
      <c r="A12" s="1080"/>
      <c r="B12" s="1080"/>
      <c r="C12" s="1084"/>
      <c r="D12" s="1080"/>
      <c r="E12" s="1080"/>
      <c r="F12" s="1080"/>
      <c r="G12" s="1080"/>
      <c r="H12" s="1080"/>
      <c r="I12" s="447" t="s">
        <v>227</v>
      </c>
      <c r="J12" s="447" t="s">
        <v>231</v>
      </c>
      <c r="K12" s="447" t="s">
        <v>228</v>
      </c>
      <c r="L12" s="447" t="s">
        <v>227</v>
      </c>
      <c r="M12" s="447" t="s">
        <v>231</v>
      </c>
      <c r="N12" s="447" t="s">
        <v>228</v>
      </c>
      <c r="O12" s="447" t="s">
        <v>227</v>
      </c>
      <c r="P12" s="447" t="s">
        <v>231</v>
      </c>
      <c r="Q12" s="447" t="s">
        <v>228</v>
      </c>
      <c r="R12" s="447" t="s">
        <v>227</v>
      </c>
      <c r="S12" s="447" t="s">
        <v>231</v>
      </c>
      <c r="T12" s="447" t="s">
        <v>228</v>
      </c>
    </row>
    <row r="13" spans="1:22" x14ac:dyDescent="0.25">
      <c r="A13" s="1080"/>
      <c r="B13" s="1080"/>
      <c r="C13" s="1084"/>
      <c r="D13" s="1080"/>
      <c r="E13" s="1080"/>
      <c r="F13" s="1080"/>
      <c r="G13" s="1080"/>
      <c r="H13" s="507" t="s">
        <v>477</v>
      </c>
      <c r="I13" s="507" t="s">
        <v>477</v>
      </c>
      <c r="J13" s="507"/>
      <c r="K13" s="507" t="s">
        <v>477</v>
      </c>
      <c r="L13" s="507" t="s">
        <v>477</v>
      </c>
      <c r="M13" s="507"/>
      <c r="N13" s="507" t="s">
        <v>477</v>
      </c>
      <c r="O13" s="507" t="s">
        <v>477</v>
      </c>
      <c r="P13" s="507"/>
      <c r="Q13" s="507" t="s">
        <v>477</v>
      </c>
      <c r="R13" s="507" t="s">
        <v>477</v>
      </c>
      <c r="S13" s="507"/>
      <c r="T13" s="507" t="s">
        <v>477</v>
      </c>
    </row>
    <row r="14" spans="1:22" s="16" customFormat="1" x14ac:dyDescent="0.25">
      <c r="A14" s="512"/>
      <c r="B14" s="512" t="s">
        <v>455</v>
      </c>
      <c r="C14" s="509"/>
      <c r="D14" s="510"/>
      <c r="E14" s="510"/>
      <c r="F14" s="508"/>
      <c r="G14" s="508"/>
      <c r="H14" s="511" t="e">
        <f>H15+H30</f>
        <v>#REF!</v>
      </c>
      <c r="I14" s="511" t="e">
        <f>I15+I30</f>
        <v>#REF!</v>
      </c>
      <c r="J14" s="509"/>
      <c r="K14" s="511" t="e">
        <f>K15+K30</f>
        <v>#REF!</v>
      </c>
      <c r="L14" s="511" t="e">
        <f>L15+L30</f>
        <v>#REF!</v>
      </c>
      <c r="M14" s="509"/>
      <c r="N14" s="511" t="e">
        <f>N15+N30</f>
        <v>#REF!</v>
      </c>
      <c r="O14" s="511" t="e">
        <f>O15+O30</f>
        <v>#REF!</v>
      </c>
      <c r="P14" s="509"/>
      <c r="Q14" s="511" t="e">
        <f>Q15+Q30</f>
        <v>#REF!</v>
      </c>
      <c r="R14" s="508"/>
      <c r="S14" s="509"/>
      <c r="T14" s="508"/>
    </row>
    <row r="15" spans="1:22" ht="25.5" x14ac:dyDescent="0.25">
      <c r="A15" s="507">
        <v>1</v>
      </c>
      <c r="B15" s="512" t="s">
        <v>540</v>
      </c>
      <c r="C15" s="513"/>
      <c r="D15" s="514"/>
      <c r="E15" s="514"/>
      <c r="F15" s="512"/>
      <c r="G15" s="515"/>
      <c r="H15" s="515" t="e">
        <f>SUM(H16:H29)</f>
        <v>#REF!</v>
      </c>
      <c r="I15" s="515" t="e">
        <f>SUM(I16:I29)</f>
        <v>#REF!</v>
      </c>
      <c r="J15" s="513"/>
      <c r="K15" s="515" t="e">
        <f>SUM(K16:K29)</f>
        <v>#REF!</v>
      </c>
      <c r="L15" s="515" t="e">
        <f>SUM(L16:L29)</f>
        <v>#REF!</v>
      </c>
      <c r="M15" s="513"/>
      <c r="N15" s="515" t="e">
        <f>SUM(N16:N29)</f>
        <v>#REF!</v>
      </c>
      <c r="O15" s="515" t="e">
        <f>SUM(O16:O29)</f>
        <v>#REF!</v>
      </c>
      <c r="P15" s="516"/>
      <c r="Q15" s="515" t="e">
        <f>SUM(Q16:Q29)</f>
        <v>#REF!</v>
      </c>
      <c r="R15" s="515" t="e">
        <f>R16+R27+#REF!+R30+R31+R32+R33+R34+#REF!</f>
        <v>#REF!</v>
      </c>
      <c r="S15" s="516"/>
      <c r="T15" s="515" t="e">
        <f>T16+T27+#REF!+T30+T31+T32+T33+T34+#REF!</f>
        <v>#REF!</v>
      </c>
      <c r="V15" s="442" t="e">
        <f>K15+N15+Q15</f>
        <v>#REF!</v>
      </c>
    </row>
    <row r="16" spans="1:22" ht="38.25" hidden="1" x14ac:dyDescent="0.25">
      <c r="A16" s="518" t="s">
        <v>673</v>
      </c>
      <c r="B16" s="506" t="s">
        <v>645</v>
      </c>
      <c r="C16" s="517">
        <v>42248</v>
      </c>
      <c r="D16" s="518" t="s">
        <v>659</v>
      </c>
      <c r="E16" s="518" t="s">
        <v>660</v>
      </c>
      <c r="F16" s="507">
        <v>7</v>
      </c>
      <c r="G16" s="519">
        <f>100%/F16</f>
        <v>0.14285714285714285</v>
      </c>
      <c r="H16" s="515" t="e">
        <f>#REF!</f>
        <v>#REF!</v>
      </c>
      <c r="I16" s="520" t="e">
        <f>$H16</f>
        <v>#REF!</v>
      </c>
      <c r="J16" s="513">
        <v>3</v>
      </c>
      <c r="K16" s="515" t="e">
        <f>$G16/12*I16*J16</f>
        <v>#REF!</v>
      </c>
      <c r="L16" s="520" t="e">
        <f t="shared" ref="L16:L29" si="0">$H16</f>
        <v>#REF!</v>
      </c>
      <c r="M16" s="513">
        <v>12</v>
      </c>
      <c r="N16" s="515" t="e">
        <f>$G16/12*L16*M16</f>
        <v>#REF!</v>
      </c>
      <c r="O16" s="520" t="e">
        <f t="shared" ref="O16:O29" si="1">$H16</f>
        <v>#REF!</v>
      </c>
      <c r="P16" s="513">
        <v>12</v>
      </c>
      <c r="Q16" s="515" t="e">
        <f t="shared" ref="Q16:Q29" si="2">$G16/12*O16*P16</f>
        <v>#REF!</v>
      </c>
      <c r="R16" s="515" t="e">
        <f>O16</f>
        <v>#REF!</v>
      </c>
      <c r="S16" s="513">
        <f t="shared" ref="S16:T27" si="3">P16</f>
        <v>12</v>
      </c>
      <c r="T16" s="515" t="e">
        <f>SUM(T17:T26)</f>
        <v>#REF!</v>
      </c>
    </row>
    <row r="17" spans="1:23" ht="51" x14ac:dyDescent="0.25">
      <c r="A17" s="518" t="s">
        <v>674</v>
      </c>
      <c r="B17" s="530" t="s">
        <v>646</v>
      </c>
      <c r="C17" s="517">
        <v>42249</v>
      </c>
      <c r="D17" s="518" t="s">
        <v>659</v>
      </c>
      <c r="E17" s="518" t="s">
        <v>661</v>
      </c>
      <c r="F17" s="507">
        <v>7</v>
      </c>
      <c r="G17" s="519">
        <f t="shared" ref="G17:G29" si="4">100%/F17</f>
        <v>0.14285714285714285</v>
      </c>
      <c r="H17" s="515" t="e">
        <f>#REF!</f>
        <v>#REF!</v>
      </c>
      <c r="I17" s="520" t="e">
        <f t="shared" ref="I17:I29" si="5">H17</f>
        <v>#REF!</v>
      </c>
      <c r="J17" s="516">
        <v>3</v>
      </c>
      <c r="K17" s="531" t="e">
        <f t="shared" ref="K17:K29" si="6">$G17/12*I17*J17</f>
        <v>#REF!</v>
      </c>
      <c r="L17" s="520" t="e">
        <f t="shared" si="0"/>
        <v>#REF!</v>
      </c>
      <c r="M17" s="513">
        <v>12</v>
      </c>
      <c r="N17" s="531" t="e">
        <f t="shared" ref="N17:N29" si="7">$G17/12*L17*M17</f>
        <v>#REF!</v>
      </c>
      <c r="O17" s="520" t="e">
        <f t="shared" si="1"/>
        <v>#REF!</v>
      </c>
      <c r="P17" s="513">
        <v>12</v>
      </c>
      <c r="Q17" s="531" t="e">
        <f t="shared" si="2"/>
        <v>#REF!</v>
      </c>
      <c r="R17" s="520" t="e">
        <f>O17</f>
        <v>#REF!</v>
      </c>
      <c r="S17" s="516">
        <f t="shared" si="3"/>
        <v>12</v>
      </c>
      <c r="T17" s="520" t="e">
        <f>Q17</f>
        <v>#REF!</v>
      </c>
      <c r="U17" s="1" t="e">
        <f>K17*1000</f>
        <v>#REF!</v>
      </c>
      <c r="V17" s="1" t="e">
        <f>N17*1000</f>
        <v>#REF!</v>
      </c>
      <c r="W17" s="1" t="e">
        <f>Q17*1000</f>
        <v>#REF!</v>
      </c>
    </row>
    <row r="18" spans="1:23" ht="38.25" hidden="1" x14ac:dyDescent="0.25">
      <c r="A18" s="518" t="s">
        <v>675</v>
      </c>
      <c r="B18" s="506" t="s">
        <v>649</v>
      </c>
      <c r="C18" s="517">
        <v>42250</v>
      </c>
      <c r="D18" s="518" t="s">
        <v>659</v>
      </c>
      <c r="E18" s="518" t="s">
        <v>660</v>
      </c>
      <c r="F18" s="507">
        <v>7</v>
      </c>
      <c r="G18" s="519">
        <f t="shared" si="4"/>
        <v>0.14285714285714285</v>
      </c>
      <c r="H18" s="515" t="e">
        <f>#REF!</f>
        <v>#REF!</v>
      </c>
      <c r="I18" s="520" t="e">
        <f t="shared" si="5"/>
        <v>#REF!</v>
      </c>
      <c r="J18" s="516">
        <v>3</v>
      </c>
      <c r="K18" s="515" t="e">
        <f t="shared" si="6"/>
        <v>#REF!</v>
      </c>
      <c r="L18" s="520" t="e">
        <f t="shared" si="0"/>
        <v>#REF!</v>
      </c>
      <c r="M18" s="513">
        <v>12</v>
      </c>
      <c r="N18" s="515" t="e">
        <f t="shared" si="7"/>
        <v>#REF!</v>
      </c>
      <c r="O18" s="520" t="e">
        <f t="shared" si="1"/>
        <v>#REF!</v>
      </c>
      <c r="P18" s="513">
        <v>12</v>
      </c>
      <c r="Q18" s="515" t="e">
        <f t="shared" si="2"/>
        <v>#REF!</v>
      </c>
      <c r="R18" s="520" t="e">
        <f t="shared" ref="R18:R26" si="8">O18</f>
        <v>#REF!</v>
      </c>
      <c r="S18" s="516">
        <f t="shared" si="3"/>
        <v>12</v>
      </c>
      <c r="T18" s="520" t="e">
        <f t="shared" si="3"/>
        <v>#REF!</v>
      </c>
    </row>
    <row r="19" spans="1:23" ht="38.25" hidden="1" x14ac:dyDescent="0.25">
      <c r="A19" s="518" t="s">
        <v>676</v>
      </c>
      <c r="B19" s="506" t="s">
        <v>650</v>
      </c>
      <c r="C19" s="517">
        <v>42251</v>
      </c>
      <c r="D19" s="518" t="s">
        <v>659</v>
      </c>
      <c r="E19" s="518" t="s">
        <v>660</v>
      </c>
      <c r="F19" s="507">
        <v>7</v>
      </c>
      <c r="G19" s="519">
        <f t="shared" si="4"/>
        <v>0.14285714285714285</v>
      </c>
      <c r="H19" s="515" t="e">
        <f>#REF!</f>
        <v>#REF!</v>
      </c>
      <c r="I19" s="521" t="e">
        <f t="shared" si="5"/>
        <v>#REF!</v>
      </c>
      <c r="J19" s="516">
        <v>3</v>
      </c>
      <c r="K19" s="515" t="e">
        <f t="shared" si="6"/>
        <v>#REF!</v>
      </c>
      <c r="L19" s="521" t="e">
        <f t="shared" si="0"/>
        <v>#REF!</v>
      </c>
      <c r="M19" s="513">
        <v>12</v>
      </c>
      <c r="N19" s="515" t="e">
        <f t="shared" si="7"/>
        <v>#REF!</v>
      </c>
      <c r="O19" s="521" t="e">
        <f t="shared" si="1"/>
        <v>#REF!</v>
      </c>
      <c r="P19" s="513">
        <v>12</v>
      </c>
      <c r="Q19" s="515" t="e">
        <f t="shared" si="2"/>
        <v>#REF!</v>
      </c>
      <c r="R19" s="520" t="e">
        <f t="shared" si="8"/>
        <v>#REF!</v>
      </c>
      <c r="S19" s="516">
        <f t="shared" si="3"/>
        <v>12</v>
      </c>
      <c r="T19" s="522" t="e">
        <f t="shared" si="3"/>
        <v>#REF!</v>
      </c>
    </row>
    <row r="20" spans="1:23" ht="38.25" hidden="1" x14ac:dyDescent="0.25">
      <c r="A20" s="518" t="s">
        <v>677</v>
      </c>
      <c r="B20" s="506" t="s">
        <v>651</v>
      </c>
      <c r="C20" s="517" t="s">
        <v>662</v>
      </c>
      <c r="D20" s="518" t="s">
        <v>659</v>
      </c>
      <c r="E20" s="518" t="s">
        <v>660</v>
      </c>
      <c r="F20" s="507">
        <v>7</v>
      </c>
      <c r="G20" s="519">
        <f t="shared" si="4"/>
        <v>0.14285714285714285</v>
      </c>
      <c r="H20" s="515" t="e">
        <f>#REF!</f>
        <v>#REF!</v>
      </c>
      <c r="I20" s="521"/>
      <c r="J20" s="516">
        <v>0</v>
      </c>
      <c r="K20" s="515">
        <f t="shared" si="6"/>
        <v>0</v>
      </c>
      <c r="L20" s="521" t="e">
        <f t="shared" si="0"/>
        <v>#REF!</v>
      </c>
      <c r="M20" s="516">
        <v>3</v>
      </c>
      <c r="N20" s="515" t="e">
        <f t="shared" si="7"/>
        <v>#REF!</v>
      </c>
      <c r="O20" s="521" t="e">
        <f t="shared" si="1"/>
        <v>#REF!</v>
      </c>
      <c r="P20" s="513">
        <v>12</v>
      </c>
      <c r="Q20" s="515" t="e">
        <f t="shared" si="2"/>
        <v>#REF!</v>
      </c>
      <c r="R20" s="520" t="e">
        <f t="shared" si="8"/>
        <v>#REF!</v>
      </c>
      <c r="S20" s="516">
        <f t="shared" si="3"/>
        <v>12</v>
      </c>
      <c r="T20" s="522" t="e">
        <f t="shared" si="3"/>
        <v>#REF!</v>
      </c>
    </row>
    <row r="21" spans="1:23" ht="38.25" hidden="1" x14ac:dyDescent="0.25">
      <c r="A21" s="518" t="s">
        <v>678</v>
      </c>
      <c r="B21" s="506" t="s">
        <v>652</v>
      </c>
      <c r="C21" s="517">
        <v>42251</v>
      </c>
      <c r="D21" s="518" t="s">
        <v>659</v>
      </c>
      <c r="E21" s="518" t="s">
        <v>660</v>
      </c>
      <c r="F21" s="507">
        <v>7</v>
      </c>
      <c r="G21" s="519">
        <f t="shared" si="4"/>
        <v>0.14285714285714285</v>
      </c>
      <c r="H21" s="515" t="e">
        <f>#REF!</f>
        <v>#REF!</v>
      </c>
      <c r="I21" s="521" t="e">
        <f t="shared" si="5"/>
        <v>#REF!</v>
      </c>
      <c r="J21" s="516">
        <v>3</v>
      </c>
      <c r="K21" s="515" t="e">
        <f t="shared" si="6"/>
        <v>#REF!</v>
      </c>
      <c r="L21" s="521" t="e">
        <f t="shared" si="0"/>
        <v>#REF!</v>
      </c>
      <c r="M21" s="513">
        <v>12</v>
      </c>
      <c r="N21" s="515" t="e">
        <f t="shared" si="7"/>
        <v>#REF!</v>
      </c>
      <c r="O21" s="521" t="e">
        <f t="shared" si="1"/>
        <v>#REF!</v>
      </c>
      <c r="P21" s="513">
        <v>12</v>
      </c>
      <c r="Q21" s="515" t="e">
        <f t="shared" si="2"/>
        <v>#REF!</v>
      </c>
      <c r="R21" s="520" t="e">
        <f t="shared" si="8"/>
        <v>#REF!</v>
      </c>
      <c r="S21" s="516">
        <f t="shared" si="3"/>
        <v>12</v>
      </c>
      <c r="T21" s="522" t="e">
        <f t="shared" si="3"/>
        <v>#REF!</v>
      </c>
    </row>
    <row r="22" spans="1:23" ht="51" hidden="1" x14ac:dyDescent="0.25">
      <c r="A22" s="518" t="s">
        <v>679</v>
      </c>
      <c r="B22" s="506" t="s">
        <v>644</v>
      </c>
      <c r="C22" s="517">
        <v>42252</v>
      </c>
      <c r="D22" s="518" t="s">
        <v>659</v>
      </c>
      <c r="E22" s="518" t="s">
        <v>660</v>
      </c>
      <c r="F22" s="507">
        <v>7</v>
      </c>
      <c r="G22" s="519">
        <f t="shared" si="4"/>
        <v>0.14285714285714285</v>
      </c>
      <c r="H22" s="515" t="e">
        <f>#REF!</f>
        <v>#REF!</v>
      </c>
      <c r="I22" s="521" t="e">
        <f t="shared" si="5"/>
        <v>#REF!</v>
      </c>
      <c r="J22" s="516">
        <v>3</v>
      </c>
      <c r="K22" s="515" t="e">
        <f t="shared" si="6"/>
        <v>#REF!</v>
      </c>
      <c r="L22" s="521" t="e">
        <f t="shared" si="0"/>
        <v>#REF!</v>
      </c>
      <c r="M22" s="513">
        <v>12</v>
      </c>
      <c r="N22" s="515" t="e">
        <f t="shared" si="7"/>
        <v>#REF!</v>
      </c>
      <c r="O22" s="521" t="e">
        <f t="shared" si="1"/>
        <v>#REF!</v>
      </c>
      <c r="P22" s="513">
        <v>12</v>
      </c>
      <c r="Q22" s="515" t="e">
        <f t="shared" si="2"/>
        <v>#REF!</v>
      </c>
      <c r="R22" s="520" t="e">
        <f t="shared" si="8"/>
        <v>#REF!</v>
      </c>
      <c r="S22" s="516">
        <f t="shared" si="3"/>
        <v>12</v>
      </c>
      <c r="T22" s="522" t="e">
        <f t="shared" si="3"/>
        <v>#REF!</v>
      </c>
    </row>
    <row r="23" spans="1:23" s="17" customFormat="1" ht="38.25" hidden="1" x14ac:dyDescent="0.25">
      <c r="A23" s="518" t="s">
        <v>680</v>
      </c>
      <c r="B23" s="506" t="s">
        <v>656</v>
      </c>
      <c r="C23" s="517">
        <v>42253</v>
      </c>
      <c r="D23" s="518" t="s">
        <v>659</v>
      </c>
      <c r="E23" s="518" t="s">
        <v>660</v>
      </c>
      <c r="F23" s="507">
        <v>7</v>
      </c>
      <c r="G23" s="519">
        <f t="shared" si="4"/>
        <v>0.14285714285714285</v>
      </c>
      <c r="H23" s="515" t="e">
        <f>#REF!</f>
        <v>#REF!</v>
      </c>
      <c r="I23" s="521" t="e">
        <f t="shared" si="5"/>
        <v>#REF!</v>
      </c>
      <c r="J23" s="516">
        <v>3</v>
      </c>
      <c r="K23" s="515" t="e">
        <f t="shared" si="6"/>
        <v>#REF!</v>
      </c>
      <c r="L23" s="521" t="e">
        <f t="shared" si="0"/>
        <v>#REF!</v>
      </c>
      <c r="M23" s="513">
        <v>12</v>
      </c>
      <c r="N23" s="515" t="e">
        <f t="shared" si="7"/>
        <v>#REF!</v>
      </c>
      <c r="O23" s="521" t="e">
        <f t="shared" si="1"/>
        <v>#REF!</v>
      </c>
      <c r="P23" s="513">
        <v>12</v>
      </c>
      <c r="Q23" s="515" t="e">
        <f t="shared" si="2"/>
        <v>#REF!</v>
      </c>
      <c r="R23" s="520" t="e">
        <f t="shared" si="8"/>
        <v>#REF!</v>
      </c>
      <c r="S23" s="516">
        <v>1</v>
      </c>
      <c r="T23" s="522" t="e">
        <f>Q23/12</f>
        <v>#REF!</v>
      </c>
    </row>
    <row r="24" spans="1:23" ht="51" hidden="1" x14ac:dyDescent="0.25">
      <c r="A24" s="518" t="s">
        <v>681</v>
      </c>
      <c r="B24" s="506" t="s">
        <v>653</v>
      </c>
      <c r="C24" s="517">
        <v>42254</v>
      </c>
      <c r="D24" s="518" t="s">
        <v>659</v>
      </c>
      <c r="E24" s="518" t="s">
        <v>663</v>
      </c>
      <c r="F24" s="507">
        <v>7</v>
      </c>
      <c r="G24" s="519">
        <f t="shared" si="4"/>
        <v>0.14285714285714285</v>
      </c>
      <c r="H24" s="515" t="e">
        <f>#REF!</f>
        <v>#REF!</v>
      </c>
      <c r="I24" s="521" t="e">
        <f t="shared" si="5"/>
        <v>#REF!</v>
      </c>
      <c r="J24" s="516">
        <v>3</v>
      </c>
      <c r="K24" s="515" t="e">
        <f t="shared" si="6"/>
        <v>#REF!</v>
      </c>
      <c r="L24" s="521" t="e">
        <f t="shared" si="0"/>
        <v>#REF!</v>
      </c>
      <c r="M24" s="513">
        <v>12</v>
      </c>
      <c r="N24" s="515" t="e">
        <f t="shared" si="7"/>
        <v>#REF!</v>
      </c>
      <c r="O24" s="521" t="e">
        <f t="shared" si="1"/>
        <v>#REF!</v>
      </c>
      <c r="P24" s="513">
        <v>12</v>
      </c>
      <c r="Q24" s="515" t="e">
        <f t="shared" si="2"/>
        <v>#REF!</v>
      </c>
      <c r="R24" s="520" t="e">
        <f t="shared" si="8"/>
        <v>#REF!</v>
      </c>
      <c r="S24" s="516">
        <f t="shared" si="3"/>
        <v>12</v>
      </c>
      <c r="T24" s="522" t="e">
        <f t="shared" si="3"/>
        <v>#REF!</v>
      </c>
    </row>
    <row r="25" spans="1:23" s="17" customFormat="1" ht="51" hidden="1" x14ac:dyDescent="0.25">
      <c r="A25" s="518" t="s">
        <v>682</v>
      </c>
      <c r="B25" s="506" t="s">
        <v>647</v>
      </c>
      <c r="C25" s="517" t="s">
        <v>662</v>
      </c>
      <c r="D25" s="518" t="s">
        <v>659</v>
      </c>
      <c r="E25" s="518" t="s">
        <v>661</v>
      </c>
      <c r="F25" s="507">
        <v>7</v>
      </c>
      <c r="G25" s="519">
        <f t="shared" si="4"/>
        <v>0.14285714285714285</v>
      </c>
      <c r="H25" s="515" t="e">
        <f>#REF!</f>
        <v>#REF!</v>
      </c>
      <c r="I25" s="521"/>
      <c r="J25" s="516">
        <v>0</v>
      </c>
      <c r="K25" s="515">
        <f t="shared" si="6"/>
        <v>0</v>
      </c>
      <c r="L25" s="521" t="e">
        <f t="shared" si="0"/>
        <v>#REF!</v>
      </c>
      <c r="M25" s="516">
        <v>3</v>
      </c>
      <c r="N25" s="515" t="e">
        <f t="shared" si="7"/>
        <v>#REF!</v>
      </c>
      <c r="O25" s="521" t="e">
        <f t="shared" si="1"/>
        <v>#REF!</v>
      </c>
      <c r="P25" s="513">
        <v>12</v>
      </c>
      <c r="Q25" s="515" t="e">
        <f t="shared" si="2"/>
        <v>#REF!</v>
      </c>
      <c r="R25" s="520" t="e">
        <f t="shared" si="8"/>
        <v>#REF!</v>
      </c>
      <c r="S25" s="516">
        <v>1</v>
      </c>
      <c r="T25" s="522" t="e">
        <f>Q25/12</f>
        <v>#REF!</v>
      </c>
    </row>
    <row r="26" spans="1:23" ht="38.25" hidden="1" x14ac:dyDescent="0.25">
      <c r="A26" s="518" t="s">
        <v>683</v>
      </c>
      <c r="B26" s="506" t="s">
        <v>654</v>
      </c>
      <c r="C26" s="517" t="s">
        <v>662</v>
      </c>
      <c r="D26" s="518" t="s">
        <v>659</v>
      </c>
      <c r="E26" s="518" t="s">
        <v>663</v>
      </c>
      <c r="F26" s="507">
        <v>7</v>
      </c>
      <c r="G26" s="519">
        <f t="shared" si="4"/>
        <v>0.14285714285714285</v>
      </c>
      <c r="H26" s="515" t="e">
        <f>#REF!</f>
        <v>#REF!</v>
      </c>
      <c r="I26" s="521"/>
      <c r="J26" s="516">
        <v>0</v>
      </c>
      <c r="K26" s="515">
        <f t="shared" si="6"/>
        <v>0</v>
      </c>
      <c r="L26" s="521" t="e">
        <f t="shared" si="0"/>
        <v>#REF!</v>
      </c>
      <c r="M26" s="516">
        <v>3</v>
      </c>
      <c r="N26" s="515" t="e">
        <f t="shared" si="7"/>
        <v>#REF!</v>
      </c>
      <c r="O26" s="521" t="e">
        <f t="shared" si="1"/>
        <v>#REF!</v>
      </c>
      <c r="P26" s="513">
        <v>12</v>
      </c>
      <c r="Q26" s="515" t="e">
        <f t="shared" si="2"/>
        <v>#REF!</v>
      </c>
      <c r="R26" s="520" t="e">
        <f t="shared" si="8"/>
        <v>#REF!</v>
      </c>
      <c r="S26" s="516">
        <f t="shared" si="3"/>
        <v>12</v>
      </c>
      <c r="T26" s="522" t="e">
        <f t="shared" si="3"/>
        <v>#REF!</v>
      </c>
    </row>
    <row r="27" spans="1:23" ht="51" hidden="1" x14ac:dyDescent="0.25">
      <c r="A27" s="518" t="s">
        <v>684</v>
      </c>
      <c r="B27" s="506" t="s">
        <v>655</v>
      </c>
      <c r="C27" s="517" t="s">
        <v>664</v>
      </c>
      <c r="D27" s="518" t="s">
        <v>659</v>
      </c>
      <c r="E27" s="518" t="s">
        <v>661</v>
      </c>
      <c r="F27" s="507">
        <v>7</v>
      </c>
      <c r="G27" s="519">
        <f t="shared" si="4"/>
        <v>0.14285714285714285</v>
      </c>
      <c r="H27" s="515" t="e">
        <f>#REF!</f>
        <v>#REF!</v>
      </c>
      <c r="I27" s="521"/>
      <c r="J27" s="513">
        <v>0</v>
      </c>
      <c r="K27" s="515">
        <f t="shared" si="6"/>
        <v>0</v>
      </c>
      <c r="L27" s="521"/>
      <c r="M27" s="513">
        <v>0</v>
      </c>
      <c r="N27" s="515">
        <f t="shared" si="7"/>
        <v>0</v>
      </c>
      <c r="O27" s="521" t="e">
        <f t="shared" si="1"/>
        <v>#REF!</v>
      </c>
      <c r="P27" s="513">
        <v>3</v>
      </c>
      <c r="Q27" s="515" t="e">
        <f t="shared" si="2"/>
        <v>#REF!</v>
      </c>
      <c r="R27" s="515" t="e">
        <f>SUM(R28:R29)</f>
        <v>#REF!</v>
      </c>
      <c r="S27" s="513">
        <f t="shared" si="3"/>
        <v>3</v>
      </c>
      <c r="T27" s="523" t="e">
        <f>SUM(T28:T29)</f>
        <v>#REF!</v>
      </c>
    </row>
    <row r="28" spans="1:23" ht="51" hidden="1" x14ac:dyDescent="0.25">
      <c r="A28" s="518" t="s">
        <v>685</v>
      </c>
      <c r="B28" s="506" t="s">
        <v>648</v>
      </c>
      <c r="C28" s="517" t="s">
        <v>665</v>
      </c>
      <c r="D28" s="518" t="s">
        <v>659</v>
      </c>
      <c r="E28" s="518" t="s">
        <v>663</v>
      </c>
      <c r="F28" s="507">
        <v>7</v>
      </c>
      <c r="G28" s="519">
        <f t="shared" si="4"/>
        <v>0.14285714285714285</v>
      </c>
      <c r="H28" s="515" t="e">
        <f>#REF!</f>
        <v>#REF!</v>
      </c>
      <c r="I28" s="521"/>
      <c r="J28" s="516">
        <v>0</v>
      </c>
      <c r="K28" s="515">
        <f t="shared" si="6"/>
        <v>0</v>
      </c>
      <c r="L28" s="521" t="e">
        <f t="shared" si="0"/>
        <v>#REF!</v>
      </c>
      <c r="M28" s="516">
        <v>3</v>
      </c>
      <c r="N28" s="515" t="e">
        <f t="shared" si="7"/>
        <v>#REF!</v>
      </c>
      <c r="O28" s="521" t="e">
        <f t="shared" si="1"/>
        <v>#REF!</v>
      </c>
      <c r="P28" s="513">
        <v>12</v>
      </c>
      <c r="Q28" s="515" t="e">
        <f t="shared" si="2"/>
        <v>#REF!</v>
      </c>
      <c r="R28" s="520" t="e">
        <f t="shared" ref="R28:R33" si="9">O28</f>
        <v>#REF!</v>
      </c>
      <c r="S28" s="516">
        <v>12</v>
      </c>
      <c r="T28" s="522" t="e">
        <f>R28*J28%/12*S28</f>
        <v>#REF!</v>
      </c>
    </row>
    <row r="29" spans="1:23" ht="51" hidden="1" x14ac:dyDescent="0.25">
      <c r="A29" s="518" t="s">
        <v>686</v>
      </c>
      <c r="B29" s="506" t="s">
        <v>657</v>
      </c>
      <c r="C29" s="517" t="s">
        <v>666</v>
      </c>
      <c r="D29" s="518" t="s">
        <v>659</v>
      </c>
      <c r="E29" s="518" t="s">
        <v>660</v>
      </c>
      <c r="F29" s="507">
        <v>7</v>
      </c>
      <c r="G29" s="519">
        <f t="shared" si="4"/>
        <v>0.14285714285714285</v>
      </c>
      <c r="H29" s="515" t="e">
        <f>#REF!</f>
        <v>#REF!</v>
      </c>
      <c r="I29" s="521" t="e">
        <f t="shared" si="5"/>
        <v>#REF!</v>
      </c>
      <c r="J29" s="516">
        <v>3</v>
      </c>
      <c r="K29" s="515" t="e">
        <f t="shared" si="6"/>
        <v>#REF!</v>
      </c>
      <c r="L29" s="521" t="e">
        <f t="shared" si="0"/>
        <v>#REF!</v>
      </c>
      <c r="M29" s="516">
        <v>12</v>
      </c>
      <c r="N29" s="515" t="e">
        <f t="shared" si="7"/>
        <v>#REF!</v>
      </c>
      <c r="O29" s="521" t="e">
        <f t="shared" si="1"/>
        <v>#REF!</v>
      </c>
      <c r="P29" s="513">
        <v>12</v>
      </c>
      <c r="Q29" s="515" t="e">
        <f t="shared" si="2"/>
        <v>#REF!</v>
      </c>
      <c r="R29" s="520" t="e">
        <f t="shared" si="9"/>
        <v>#REF!</v>
      </c>
      <c r="S29" s="516">
        <v>12</v>
      </c>
      <c r="T29" s="522" t="e">
        <f>R29*J29%/12*S29</f>
        <v>#REF!</v>
      </c>
    </row>
    <row r="30" spans="1:23" hidden="1" x14ac:dyDescent="0.25">
      <c r="A30" s="512" t="s">
        <v>420</v>
      </c>
      <c r="B30" s="512" t="s">
        <v>469</v>
      </c>
      <c r="C30" s="524"/>
      <c r="D30" s="514"/>
      <c r="E30" s="514"/>
      <c r="F30" s="512"/>
      <c r="G30" s="525"/>
      <c r="H30" s="515" t="e">
        <f>SUM(H31:H34)</f>
        <v>#REF!</v>
      </c>
      <c r="I30" s="515">
        <f>SUM(I31:I34)</f>
        <v>0</v>
      </c>
      <c r="J30" s="513"/>
      <c r="K30" s="515">
        <f>SUM(K31:K34)</f>
        <v>0</v>
      </c>
      <c r="L30" s="515">
        <f>SUM(L31:L34)</f>
        <v>0</v>
      </c>
      <c r="M30" s="513"/>
      <c r="N30" s="515">
        <f>SUM(N31:N34)</f>
        <v>0</v>
      </c>
      <c r="O30" s="515" t="e">
        <f>SUM(O31:O34)</f>
        <v>#REF!</v>
      </c>
      <c r="P30" s="513"/>
      <c r="Q30" s="515" t="e">
        <f>SUM(Q31:Q34)</f>
        <v>#REF!</v>
      </c>
      <c r="R30" s="515" t="e">
        <f t="shared" si="9"/>
        <v>#REF!</v>
      </c>
      <c r="S30" s="513">
        <v>12</v>
      </c>
      <c r="T30" s="523" t="e">
        <f>Q30</f>
        <v>#REF!</v>
      </c>
    </row>
    <row r="31" spans="1:23" ht="51" hidden="1" x14ac:dyDescent="0.25">
      <c r="A31" s="518" t="s">
        <v>687</v>
      </c>
      <c r="B31" s="506" t="s">
        <v>640</v>
      </c>
      <c r="C31" s="517" t="s">
        <v>667</v>
      </c>
      <c r="D31" s="518" t="s">
        <v>668</v>
      </c>
      <c r="E31" s="518" t="s">
        <v>669</v>
      </c>
      <c r="F31" s="507">
        <v>15</v>
      </c>
      <c r="G31" s="519">
        <f>100%/F31</f>
        <v>6.6666666666666666E-2</v>
      </c>
      <c r="H31" s="515" t="e">
        <f>#REF!</f>
        <v>#REF!</v>
      </c>
      <c r="I31" s="515"/>
      <c r="J31" s="516">
        <v>0</v>
      </c>
      <c r="K31" s="515">
        <f>$G31/12*I31*J31</f>
        <v>0</v>
      </c>
      <c r="L31" s="521"/>
      <c r="M31" s="513">
        <v>0</v>
      </c>
      <c r="N31" s="515">
        <f>$G31/12*L31*M31</f>
        <v>0</v>
      </c>
      <c r="O31" s="521" t="e">
        <f>$H31</f>
        <v>#REF!</v>
      </c>
      <c r="P31" s="513">
        <v>1</v>
      </c>
      <c r="Q31" s="515" t="e">
        <f>$G31/12*O31*P31</f>
        <v>#REF!</v>
      </c>
      <c r="R31" s="515" t="e">
        <f t="shared" si="9"/>
        <v>#REF!</v>
      </c>
      <c r="S31" s="513">
        <v>12</v>
      </c>
      <c r="T31" s="523" t="e">
        <f>Q31</f>
        <v>#REF!</v>
      </c>
    </row>
    <row r="32" spans="1:23" ht="51" hidden="1" x14ac:dyDescent="0.25">
      <c r="A32" s="518" t="s">
        <v>688</v>
      </c>
      <c r="B32" s="506" t="s">
        <v>641</v>
      </c>
      <c r="C32" s="517" t="s">
        <v>667</v>
      </c>
      <c r="D32" s="518" t="s">
        <v>668</v>
      </c>
      <c r="E32" s="518" t="s">
        <v>670</v>
      </c>
      <c r="F32" s="507">
        <v>15</v>
      </c>
      <c r="G32" s="519">
        <f>100%/F32</f>
        <v>6.6666666666666666E-2</v>
      </c>
      <c r="H32" s="515" t="e">
        <f>#REF!</f>
        <v>#REF!</v>
      </c>
      <c r="I32" s="515"/>
      <c r="J32" s="513">
        <v>0</v>
      </c>
      <c r="K32" s="515">
        <f>$G32/12*I32*J32</f>
        <v>0</v>
      </c>
      <c r="L32" s="521"/>
      <c r="M32" s="513">
        <v>0</v>
      </c>
      <c r="N32" s="515">
        <f>$G32/12*L32*M32</f>
        <v>0</v>
      </c>
      <c r="O32" s="521" t="e">
        <f>$H32</f>
        <v>#REF!</v>
      </c>
      <c r="P32" s="513">
        <v>1</v>
      </c>
      <c r="Q32" s="515" t="e">
        <f>$G32/12*O32*P32</f>
        <v>#REF!</v>
      </c>
      <c r="R32" s="515" t="e">
        <f t="shared" si="9"/>
        <v>#REF!</v>
      </c>
      <c r="S32" s="513">
        <v>12</v>
      </c>
      <c r="T32" s="523" t="e">
        <f>Q32</f>
        <v>#REF!</v>
      </c>
    </row>
    <row r="33" spans="1:20" ht="51" hidden="1" x14ac:dyDescent="0.25">
      <c r="A33" s="518" t="s">
        <v>689</v>
      </c>
      <c r="B33" s="506" t="s">
        <v>642</v>
      </c>
      <c r="C33" s="517" t="s">
        <v>667</v>
      </c>
      <c r="D33" s="518" t="s">
        <v>668</v>
      </c>
      <c r="E33" s="518" t="s">
        <v>670</v>
      </c>
      <c r="F33" s="507">
        <v>15</v>
      </c>
      <c r="G33" s="519">
        <f>100%/F33</f>
        <v>6.6666666666666666E-2</v>
      </c>
      <c r="H33" s="515" t="e">
        <f>#REF!</f>
        <v>#REF!</v>
      </c>
      <c r="I33" s="515"/>
      <c r="J33" s="516">
        <v>0</v>
      </c>
      <c r="K33" s="515">
        <f>$G33/12*I33*J33</f>
        <v>0</v>
      </c>
      <c r="L33" s="521"/>
      <c r="M33" s="513">
        <v>0</v>
      </c>
      <c r="N33" s="515">
        <f>$G33/12*L33*M33</f>
        <v>0</v>
      </c>
      <c r="O33" s="521" t="e">
        <f>$H33</f>
        <v>#REF!</v>
      </c>
      <c r="P33" s="513">
        <v>1</v>
      </c>
      <c r="Q33" s="515" t="e">
        <f>$G33/12*O33*P33</f>
        <v>#REF!</v>
      </c>
      <c r="R33" s="515" t="e">
        <f t="shared" si="9"/>
        <v>#REF!</v>
      </c>
      <c r="S33" s="513">
        <v>12</v>
      </c>
      <c r="T33" s="523" t="e">
        <f>Q33</f>
        <v>#REF!</v>
      </c>
    </row>
    <row r="34" spans="1:20" ht="51" hidden="1" x14ac:dyDescent="0.25">
      <c r="A34" s="518" t="s">
        <v>690</v>
      </c>
      <c r="B34" s="506" t="s">
        <v>643</v>
      </c>
      <c r="C34" s="517" t="s">
        <v>667</v>
      </c>
      <c r="D34" s="518" t="s">
        <v>668</v>
      </c>
      <c r="E34" s="518" t="s">
        <v>670</v>
      </c>
      <c r="F34" s="507">
        <v>15</v>
      </c>
      <c r="G34" s="519">
        <f>100%/F34</f>
        <v>6.6666666666666666E-2</v>
      </c>
      <c r="H34" s="515" t="e">
        <f>#REF!</f>
        <v>#REF!</v>
      </c>
      <c r="I34" s="515"/>
      <c r="J34" s="516">
        <v>0</v>
      </c>
      <c r="K34" s="515">
        <f>$G34/12*I34*J34</f>
        <v>0</v>
      </c>
      <c r="L34" s="521"/>
      <c r="M34" s="513">
        <v>0</v>
      </c>
      <c r="N34" s="515">
        <f>$G34/12*L34*M34</f>
        <v>0</v>
      </c>
      <c r="O34" s="521" t="e">
        <f>$H34</f>
        <v>#REF!</v>
      </c>
      <c r="P34" s="513">
        <v>1</v>
      </c>
      <c r="Q34" s="515" t="e">
        <f>$G34/12*O34*P34</f>
        <v>#REF!</v>
      </c>
      <c r="R34" s="515" t="e">
        <f>SUM(#REF!)</f>
        <v>#REF!</v>
      </c>
      <c r="S34" s="516"/>
      <c r="T34" s="523" t="e">
        <f>SUM(#REF!)</f>
        <v>#REF!</v>
      </c>
    </row>
    <row r="35" spans="1:20" x14ac:dyDescent="0.25">
      <c r="A35" s="28"/>
      <c r="B35" s="13"/>
      <c r="C35" s="527"/>
      <c r="D35" s="36"/>
      <c r="E35" s="36"/>
      <c r="F35" s="36"/>
      <c r="G35" s="36"/>
      <c r="H35" s="36"/>
      <c r="I35" s="8"/>
      <c r="J35" s="8"/>
      <c r="K35" s="8"/>
      <c r="L35" s="8"/>
      <c r="M35" s="8"/>
      <c r="N35" s="8"/>
      <c r="O35" s="8"/>
      <c r="P35" s="8"/>
      <c r="Q35" s="445"/>
      <c r="R35" s="8"/>
      <c r="S35" s="8"/>
      <c r="T35" s="445"/>
    </row>
    <row r="36" spans="1:20" ht="28.5" customHeight="1" x14ac:dyDescent="0.25">
      <c r="A36" s="28"/>
      <c r="B36" s="13"/>
      <c r="C36" s="527"/>
      <c r="D36" s="36" t="s">
        <v>635</v>
      </c>
      <c r="E36" s="36"/>
      <c r="G36" s="36"/>
      <c r="H36" s="36"/>
      <c r="I36" s="505" t="s">
        <v>637</v>
      </c>
      <c r="J36" s="8"/>
      <c r="K36" s="8"/>
      <c r="L36" s="8"/>
      <c r="M36" s="8"/>
      <c r="N36" s="8"/>
      <c r="O36" s="8"/>
      <c r="P36" s="8"/>
      <c r="Q36" s="445"/>
      <c r="R36" s="8"/>
      <c r="S36" s="8"/>
      <c r="T36" s="445"/>
    </row>
    <row r="37" spans="1:20" x14ac:dyDescent="0.25">
      <c r="A37" s="28"/>
      <c r="B37" s="13"/>
      <c r="C37" s="527"/>
      <c r="D37" s="36"/>
      <c r="E37" s="36"/>
      <c r="F37" s="36"/>
      <c r="G37" s="36"/>
      <c r="H37" s="36"/>
      <c r="I37" s="8"/>
      <c r="J37" s="8"/>
      <c r="K37" s="8"/>
      <c r="L37" s="8"/>
      <c r="M37" s="8"/>
      <c r="N37" s="8"/>
      <c r="O37" s="8"/>
      <c r="P37" s="8"/>
      <c r="Q37" s="445"/>
      <c r="R37" s="8"/>
      <c r="S37" s="8"/>
      <c r="T37" s="445"/>
    </row>
    <row r="38" spans="1:20" x14ac:dyDescent="0.25">
      <c r="A38" s="28"/>
      <c r="B38" s="13"/>
      <c r="C38" s="527"/>
      <c r="D38" s="36"/>
      <c r="E38" s="36"/>
      <c r="F38" s="36"/>
      <c r="G38" s="36"/>
      <c r="H38" s="36"/>
      <c r="I38" s="8"/>
      <c r="J38" s="8"/>
      <c r="K38" s="8"/>
      <c r="L38" s="8"/>
      <c r="M38" s="8"/>
      <c r="N38" s="8"/>
      <c r="O38" s="8"/>
      <c r="P38" s="8"/>
      <c r="Q38" s="445"/>
      <c r="R38" s="8"/>
      <c r="S38" s="8"/>
      <c r="T38" s="445"/>
    </row>
    <row r="39" spans="1:20" x14ac:dyDescent="0.25">
      <c r="A39" s="28"/>
      <c r="B39" s="13"/>
      <c r="C39" s="527"/>
      <c r="D39" s="36"/>
      <c r="E39" s="36"/>
      <c r="F39" s="36"/>
      <c r="G39" s="36"/>
      <c r="H39" s="36"/>
      <c r="I39" s="8"/>
      <c r="J39" s="8"/>
      <c r="K39" s="8"/>
      <c r="L39" s="8"/>
      <c r="M39" s="8"/>
      <c r="N39" s="8"/>
      <c r="O39" s="8"/>
      <c r="P39" s="8"/>
      <c r="Q39" s="445"/>
      <c r="R39" s="8"/>
      <c r="S39" s="8"/>
      <c r="T39" s="445"/>
    </row>
    <row r="40" spans="1:20" ht="20.25" x14ac:dyDescent="0.3">
      <c r="A40" s="503"/>
      <c r="B40" s="457"/>
      <c r="C40" s="528"/>
      <c r="D40" s="458"/>
      <c r="E40" s="457"/>
      <c r="F40" s="459"/>
      <c r="H40" s="492" t="e">
        <f>H15-23.808</f>
        <v>#REF!</v>
      </c>
      <c r="J40" s="442" t="e">
        <f>K15+N15+Q15</f>
        <v>#REF!</v>
      </c>
    </row>
    <row r="41" spans="1:20" x14ac:dyDescent="0.25">
      <c r="A41" s="20"/>
      <c r="H41" s="493">
        <v>209247.9561727228</v>
      </c>
    </row>
    <row r="42" spans="1:20" x14ac:dyDescent="0.25">
      <c r="A42" s="20"/>
      <c r="B42" s="36"/>
      <c r="H42" s="494" t="e">
        <f>H41/1000-H40</f>
        <v>#REF!</v>
      </c>
    </row>
    <row r="43" spans="1:20" x14ac:dyDescent="0.25">
      <c r="B43" s="925"/>
      <c r="C43" s="925"/>
      <c r="D43" s="925"/>
      <c r="E43" s="925"/>
      <c r="F43" s="925"/>
      <c r="G43" s="925"/>
      <c r="H43" s="925"/>
      <c r="K43" s="23"/>
      <c r="N43" s="23"/>
      <c r="O43" s="23"/>
      <c r="P43" s="23"/>
      <c r="Q43" s="23"/>
      <c r="R43" s="23"/>
      <c r="S43" s="23"/>
      <c r="T43" s="23"/>
    </row>
    <row r="44" spans="1:20" x14ac:dyDescent="0.25">
      <c r="B44" s="502"/>
      <c r="C44" s="501"/>
      <c r="D44" s="502"/>
      <c r="E44" s="502"/>
      <c r="F44" s="502"/>
      <c r="G44" s="502"/>
      <c r="H44" s="502"/>
      <c r="K44" s="23"/>
      <c r="N44" s="23"/>
      <c r="O44" s="23"/>
      <c r="P44" s="23"/>
      <c r="Q44" s="23"/>
      <c r="R44" s="23"/>
      <c r="S44" s="23"/>
      <c r="T44" s="23"/>
    </row>
    <row r="45" spans="1:20" x14ac:dyDescent="0.25">
      <c r="A45" s="20"/>
      <c r="B45" s="925"/>
      <c r="C45" s="925"/>
      <c r="D45" s="925"/>
      <c r="E45" s="925"/>
      <c r="F45" s="925"/>
      <c r="G45" s="925"/>
      <c r="H45" s="925"/>
    </row>
    <row r="46" spans="1:20" x14ac:dyDescent="0.25">
      <c r="A46" s="20"/>
      <c r="B46" s="925"/>
      <c r="C46" s="925"/>
      <c r="D46" s="925"/>
      <c r="E46" s="925"/>
      <c r="F46" s="925"/>
      <c r="G46" s="925"/>
      <c r="H46" s="925"/>
    </row>
    <row r="47" spans="1:20" x14ac:dyDescent="0.25">
      <c r="A47" s="20"/>
    </row>
    <row r="48" spans="1:20" x14ac:dyDescent="0.25">
      <c r="A48" s="20"/>
    </row>
    <row r="49" spans="1:20" x14ac:dyDescent="0.25">
      <c r="C49" s="529"/>
      <c r="D49" s="1"/>
      <c r="E49" s="1"/>
      <c r="F49" s="1"/>
      <c r="G49" s="1"/>
      <c r="H49" s="1"/>
      <c r="K49" s="23"/>
      <c r="N49" s="23"/>
      <c r="O49" s="23"/>
      <c r="P49" s="23"/>
      <c r="Q49" s="23"/>
      <c r="R49" s="23"/>
      <c r="S49" s="23"/>
      <c r="T49" s="23"/>
    </row>
    <row r="50" spans="1:20" x14ac:dyDescent="0.25">
      <c r="A50" s="17"/>
    </row>
  </sheetData>
  <mergeCells count="19">
    <mergeCell ref="I11:K11"/>
    <mergeCell ref="L11:N11"/>
    <mergeCell ref="O11:Q11"/>
    <mergeCell ref="R11:T11"/>
    <mergeCell ref="A7:Q7"/>
    <mergeCell ref="A8:Q8"/>
    <mergeCell ref="A10:A13"/>
    <mergeCell ref="B10:B13"/>
    <mergeCell ref="C10:C13"/>
    <mergeCell ref="D10:G10"/>
    <mergeCell ref="H10:H12"/>
    <mergeCell ref="I10:T10"/>
    <mergeCell ref="D11:D13"/>
    <mergeCell ref="E11:E13"/>
    <mergeCell ref="B43:H43"/>
    <mergeCell ref="B45:H45"/>
    <mergeCell ref="B46:H46"/>
    <mergeCell ref="F11:F13"/>
    <mergeCell ref="G11:G13"/>
  </mergeCells>
  <printOptions horizontalCentered="1"/>
  <pageMargins left="0.2" right="0.2" top="0.89" bottom="0.43" header="0.31496062992125984" footer="0.31496062992125984"/>
  <pageSetup paperSize="9" scale="63" fitToHeight="3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N134"/>
  <sheetViews>
    <sheetView view="pageBreakPreview" zoomScaleNormal="100" zoomScaleSheetLayoutView="100" workbookViewId="0">
      <pane ySplit="5" topLeftCell="A123" activePane="bottomLeft" state="frozen"/>
      <selection pane="bottomLeft" activeCell="D123" sqref="D123"/>
    </sheetView>
  </sheetViews>
  <sheetFormatPr defaultColWidth="9" defaultRowHeight="15.75" x14ac:dyDescent="0.25"/>
  <cols>
    <col min="1" max="1" width="8.75" style="1" customWidth="1"/>
    <col min="2" max="2" width="13.625" style="1" customWidth="1"/>
    <col min="3" max="3" width="20.5" style="1" customWidth="1"/>
    <col min="4" max="4" width="15.5" style="1" customWidth="1"/>
    <col min="5" max="5" width="10.125" style="1" customWidth="1"/>
    <col min="6" max="6" width="12.125" style="1" customWidth="1"/>
    <col min="7" max="7" width="9" style="1" customWidth="1"/>
    <col min="8" max="16384" width="9" style="1"/>
  </cols>
  <sheetData>
    <row r="2" spans="1:14" ht="25.5" customHeight="1" x14ac:dyDescent="0.25">
      <c r="A2" s="1090" t="s">
        <v>1248</v>
      </c>
      <c r="B2" s="1090"/>
      <c r="C2" s="1090"/>
      <c r="D2" s="1090"/>
      <c r="E2" s="1090"/>
      <c r="F2" s="1090"/>
    </row>
    <row r="3" spans="1:14" ht="35.450000000000003" customHeight="1" x14ac:dyDescent="0.25">
      <c r="A3" s="1090"/>
      <c r="B3" s="1090"/>
      <c r="C3" s="1090"/>
      <c r="D3" s="1090"/>
      <c r="E3" s="1090"/>
      <c r="F3" s="1090"/>
    </row>
    <row r="4" spans="1:14" ht="33.75" customHeight="1" x14ac:dyDescent="0.25">
      <c r="A4" s="1091" t="s">
        <v>849</v>
      </c>
      <c r="B4" s="1091"/>
      <c r="C4" s="1091"/>
      <c r="D4" s="1091"/>
      <c r="E4" s="446"/>
      <c r="F4" s="835" t="s">
        <v>1234</v>
      </c>
    </row>
    <row r="5" spans="1:14" ht="48.6" customHeight="1" x14ac:dyDescent="0.25">
      <c r="A5" s="444" t="s">
        <v>358</v>
      </c>
      <c r="B5" s="559" t="s">
        <v>855</v>
      </c>
      <c r="C5" s="447" t="s">
        <v>633</v>
      </c>
      <c r="D5" s="447" t="s">
        <v>87</v>
      </c>
      <c r="E5" s="448" t="s">
        <v>373</v>
      </c>
      <c r="F5" s="559" t="s">
        <v>856</v>
      </c>
    </row>
    <row r="6" spans="1:14" ht="25.9" customHeight="1" x14ac:dyDescent="0.25">
      <c r="A6" s="566" t="s">
        <v>1012</v>
      </c>
      <c r="B6" s="489">
        <f>'2 ИП ТС'!N58</f>
        <v>2013.16</v>
      </c>
      <c r="C6" s="565"/>
      <c r="D6" s="892">
        <f>8.5%+4%</f>
        <v>0.125</v>
      </c>
      <c r="E6" s="488"/>
      <c r="F6" s="488"/>
    </row>
    <row r="7" spans="1:14" x14ac:dyDescent="0.25">
      <c r="A7" s="847" t="s">
        <v>1235</v>
      </c>
      <c r="B7" s="490"/>
      <c r="C7" s="491"/>
      <c r="D7" s="564">
        <f>$D$6/12</f>
        <v>1.0416666666666666E-2</v>
      </c>
      <c r="E7" s="490">
        <f>B7*D7</f>
        <v>0</v>
      </c>
      <c r="F7" s="490">
        <f>B7-C7</f>
        <v>0</v>
      </c>
      <c r="G7" s="574"/>
      <c r="M7" s="442"/>
    </row>
    <row r="8" spans="1:14" x14ac:dyDescent="0.25">
      <c r="A8" s="848" t="s">
        <v>1236</v>
      </c>
      <c r="B8" s="450"/>
      <c r="C8" s="491"/>
      <c r="D8" s="564">
        <f t="shared" ref="D8:D31" si="0">$D$6/12</f>
        <v>1.0416666666666666E-2</v>
      </c>
      <c r="E8" s="490">
        <f t="shared" ref="E8:E18" si="1">B8*D8</f>
        <v>0</v>
      </c>
      <c r="F8" s="490">
        <f t="shared" ref="F8:F18" si="2">B8-C8</f>
        <v>0</v>
      </c>
      <c r="G8" s="575"/>
      <c r="M8" s="442"/>
    </row>
    <row r="9" spans="1:14" x14ac:dyDescent="0.25">
      <c r="A9" s="848" t="s">
        <v>1237</v>
      </c>
      <c r="B9" s="450">
        <f>B6</f>
        <v>2013.16</v>
      </c>
      <c r="C9" s="491">
        <f>C$123/12</f>
        <v>167.76366666666667</v>
      </c>
      <c r="D9" s="564">
        <f t="shared" si="0"/>
        <v>1.0416666666666666E-2</v>
      </c>
      <c r="E9" s="490">
        <f t="shared" si="1"/>
        <v>20.970416666666665</v>
      </c>
      <c r="F9" s="490">
        <f t="shared" si="2"/>
        <v>1845.3963333333334</v>
      </c>
      <c r="M9" s="442"/>
    </row>
    <row r="10" spans="1:14" x14ac:dyDescent="0.25">
      <c r="A10" s="848" t="s">
        <v>1238</v>
      </c>
      <c r="B10" s="450">
        <f>F9</f>
        <v>1845.3963333333334</v>
      </c>
      <c r="C10" s="491">
        <f t="shared" ref="C10:C17" si="3">C$123/12</f>
        <v>167.76366666666667</v>
      </c>
      <c r="D10" s="564">
        <f t="shared" si="0"/>
        <v>1.0416666666666666E-2</v>
      </c>
      <c r="E10" s="490">
        <f t="shared" si="1"/>
        <v>19.22287847222222</v>
      </c>
      <c r="F10" s="490">
        <f t="shared" si="2"/>
        <v>1677.6326666666666</v>
      </c>
      <c r="N10" s="442"/>
    </row>
    <row r="11" spans="1:14" x14ac:dyDescent="0.25">
      <c r="A11" s="848" t="s">
        <v>1239</v>
      </c>
      <c r="B11" s="450">
        <f t="shared" ref="B11:B18" si="4">F10</f>
        <v>1677.6326666666666</v>
      </c>
      <c r="C11" s="491">
        <f t="shared" si="3"/>
        <v>167.76366666666667</v>
      </c>
      <c r="D11" s="564">
        <f t="shared" si="0"/>
        <v>1.0416666666666666E-2</v>
      </c>
      <c r="E11" s="490">
        <f t="shared" si="1"/>
        <v>17.475340277777775</v>
      </c>
      <c r="F11" s="490">
        <f t="shared" si="2"/>
        <v>1509.8689999999999</v>
      </c>
      <c r="M11" s="442"/>
    </row>
    <row r="12" spans="1:14" x14ac:dyDescent="0.25">
      <c r="A12" s="848" t="s">
        <v>1240</v>
      </c>
      <c r="B12" s="450">
        <f t="shared" si="4"/>
        <v>1509.8689999999999</v>
      </c>
      <c r="C12" s="491">
        <f t="shared" si="3"/>
        <v>167.76366666666667</v>
      </c>
      <c r="D12" s="564">
        <f t="shared" si="0"/>
        <v>1.0416666666666666E-2</v>
      </c>
      <c r="E12" s="490">
        <f t="shared" si="1"/>
        <v>15.727802083333332</v>
      </c>
      <c r="F12" s="490">
        <f t="shared" si="2"/>
        <v>1342.1053333333332</v>
      </c>
      <c r="N12" s="442"/>
    </row>
    <row r="13" spans="1:14" x14ac:dyDescent="0.25">
      <c r="A13" s="848" t="s">
        <v>1241</v>
      </c>
      <c r="B13" s="450">
        <f t="shared" si="4"/>
        <v>1342.1053333333332</v>
      </c>
      <c r="C13" s="491">
        <f t="shared" si="3"/>
        <v>167.76366666666667</v>
      </c>
      <c r="D13" s="564">
        <f t="shared" si="0"/>
        <v>1.0416666666666666E-2</v>
      </c>
      <c r="E13" s="490">
        <f t="shared" si="1"/>
        <v>13.980263888888887</v>
      </c>
      <c r="F13" s="490">
        <f t="shared" si="2"/>
        <v>1174.3416666666665</v>
      </c>
      <c r="M13" s="442"/>
    </row>
    <row r="14" spans="1:14" x14ac:dyDescent="0.25">
      <c r="A14" s="848" t="s">
        <v>1242</v>
      </c>
      <c r="B14" s="450">
        <f t="shared" si="4"/>
        <v>1174.3416666666665</v>
      </c>
      <c r="C14" s="491">
        <f t="shared" si="3"/>
        <v>167.76366666666667</v>
      </c>
      <c r="D14" s="564">
        <f t="shared" si="0"/>
        <v>1.0416666666666666E-2</v>
      </c>
      <c r="E14" s="490">
        <f t="shared" si="1"/>
        <v>12.232725694444442</v>
      </c>
      <c r="F14" s="490">
        <f t="shared" si="2"/>
        <v>1006.5779999999997</v>
      </c>
      <c r="N14" s="442"/>
    </row>
    <row r="15" spans="1:14" x14ac:dyDescent="0.25">
      <c r="A15" s="848" t="s">
        <v>1243</v>
      </c>
      <c r="B15" s="450">
        <f t="shared" si="4"/>
        <v>1006.5779999999997</v>
      </c>
      <c r="C15" s="491">
        <f t="shared" si="3"/>
        <v>167.76366666666667</v>
      </c>
      <c r="D15" s="564">
        <f t="shared" si="0"/>
        <v>1.0416666666666666E-2</v>
      </c>
      <c r="E15" s="490">
        <f t="shared" si="1"/>
        <v>10.485187499999997</v>
      </c>
      <c r="F15" s="490">
        <f t="shared" si="2"/>
        <v>838.81433333333302</v>
      </c>
    </row>
    <row r="16" spans="1:14" x14ac:dyDescent="0.25">
      <c r="A16" s="848" t="s">
        <v>1244</v>
      </c>
      <c r="B16" s="450">
        <f t="shared" si="4"/>
        <v>838.81433333333302</v>
      </c>
      <c r="C16" s="491">
        <f t="shared" si="3"/>
        <v>167.76366666666667</v>
      </c>
      <c r="D16" s="564">
        <f t="shared" si="0"/>
        <v>1.0416666666666666E-2</v>
      </c>
      <c r="E16" s="490">
        <f t="shared" si="1"/>
        <v>8.7376493055555517</v>
      </c>
      <c r="F16" s="490">
        <f t="shared" si="2"/>
        <v>671.0506666666663</v>
      </c>
    </row>
    <row r="17" spans="1:8" x14ac:dyDescent="0.25">
      <c r="A17" s="848" t="s">
        <v>1245</v>
      </c>
      <c r="B17" s="450">
        <f t="shared" si="4"/>
        <v>671.0506666666663</v>
      </c>
      <c r="C17" s="491">
        <f t="shared" si="3"/>
        <v>167.76366666666667</v>
      </c>
      <c r="D17" s="564">
        <f t="shared" si="0"/>
        <v>1.0416666666666666E-2</v>
      </c>
      <c r="E17" s="490">
        <f t="shared" si="1"/>
        <v>6.9901111111111067</v>
      </c>
      <c r="F17" s="490">
        <f t="shared" si="2"/>
        <v>503.28699999999964</v>
      </c>
      <c r="G17" s="442">
        <f>SUM(C9:C17)</f>
        <v>1509.8730000000003</v>
      </c>
    </row>
    <row r="18" spans="1:8" x14ac:dyDescent="0.25">
      <c r="A18" s="847" t="s">
        <v>1246</v>
      </c>
      <c r="B18" s="450">
        <f t="shared" si="4"/>
        <v>503.28699999999964</v>
      </c>
      <c r="C18" s="491">
        <f>C123-G17</f>
        <v>503.29099999999971</v>
      </c>
      <c r="D18" s="564">
        <f>$D$6/12</f>
        <v>1.0416666666666666E-2</v>
      </c>
      <c r="E18" s="490">
        <f t="shared" si="1"/>
        <v>5.2425729166666626</v>
      </c>
      <c r="F18" s="490">
        <f t="shared" si="2"/>
        <v>-4.0000000000759428E-3</v>
      </c>
      <c r="G18" s="442"/>
    </row>
    <row r="19" spans="1:8" ht="28.15" customHeight="1" x14ac:dyDescent="0.25">
      <c r="A19" s="566" t="s">
        <v>1217</v>
      </c>
      <c r="B19" s="489">
        <f>'2 ИП ТС'!O58+Кредит!F19</f>
        <v>3591.6859020013699</v>
      </c>
      <c r="C19" s="565"/>
      <c r="D19" s="892">
        <f>8.5%+4%</f>
        <v>0.125</v>
      </c>
      <c r="E19" s="488"/>
      <c r="F19" s="489">
        <f>F18</f>
        <v>-4.0000000000759428E-3</v>
      </c>
    </row>
    <row r="20" spans="1:8" ht="23.45" customHeight="1" x14ac:dyDescent="0.25">
      <c r="A20" s="847" t="s">
        <v>1235</v>
      </c>
      <c r="B20" s="450"/>
      <c r="C20" s="491"/>
      <c r="D20" s="564">
        <f t="shared" si="0"/>
        <v>1.0416666666666666E-2</v>
      </c>
      <c r="E20" s="490">
        <f>B20*D20</f>
        <v>0</v>
      </c>
      <c r="F20" s="490">
        <f>B20-C20</f>
        <v>0</v>
      </c>
      <c r="G20" s="574"/>
    </row>
    <row r="21" spans="1:8" ht="15.6" customHeight="1" x14ac:dyDescent="0.25">
      <c r="A21" s="848" t="s">
        <v>1236</v>
      </c>
      <c r="B21" s="450"/>
      <c r="C21" s="491"/>
      <c r="D21" s="564">
        <f t="shared" si="0"/>
        <v>1.0416666666666666E-2</v>
      </c>
      <c r="E21" s="490">
        <f t="shared" ref="E21:E31" si="5">B21*D21</f>
        <v>0</v>
      </c>
      <c r="F21" s="490">
        <f t="shared" ref="F21:F31" si="6">B21-C21</f>
        <v>0</v>
      </c>
      <c r="G21" s="575"/>
    </row>
    <row r="22" spans="1:8" x14ac:dyDescent="0.25">
      <c r="A22" s="848" t="s">
        <v>1237</v>
      </c>
      <c r="B22" s="450">
        <f>B19</f>
        <v>3591.6859020013699</v>
      </c>
      <c r="C22" s="491">
        <f>C$124/12</f>
        <v>248.88833333333332</v>
      </c>
      <c r="D22" s="564">
        <f t="shared" si="0"/>
        <v>1.0416666666666666E-2</v>
      </c>
      <c r="E22" s="490">
        <f t="shared" si="5"/>
        <v>37.413394812514269</v>
      </c>
      <c r="F22" s="490">
        <f t="shared" si="6"/>
        <v>3342.7975686680365</v>
      </c>
    </row>
    <row r="23" spans="1:8" x14ac:dyDescent="0.25">
      <c r="A23" s="848" t="s">
        <v>1238</v>
      </c>
      <c r="B23" s="450">
        <f>F22</f>
        <v>3342.7975686680365</v>
      </c>
      <c r="C23" s="491">
        <f t="shared" ref="C23:C30" si="7">C$124/12</f>
        <v>248.88833333333332</v>
      </c>
      <c r="D23" s="564">
        <f t="shared" si="0"/>
        <v>1.0416666666666666E-2</v>
      </c>
      <c r="E23" s="490">
        <f t="shared" si="5"/>
        <v>34.820808006958714</v>
      </c>
      <c r="F23" s="490">
        <f t="shared" si="6"/>
        <v>3093.9092353347032</v>
      </c>
    </row>
    <row r="24" spans="1:8" x14ac:dyDescent="0.25">
      <c r="A24" s="848" t="s">
        <v>1239</v>
      </c>
      <c r="B24" s="450">
        <f t="shared" ref="B24:B31" si="8">F23</f>
        <v>3093.9092353347032</v>
      </c>
      <c r="C24" s="491">
        <f t="shared" si="7"/>
        <v>248.88833333333332</v>
      </c>
      <c r="D24" s="564">
        <f t="shared" si="0"/>
        <v>1.0416666666666666E-2</v>
      </c>
      <c r="E24" s="490">
        <f t="shared" si="5"/>
        <v>32.228221201403159</v>
      </c>
      <c r="F24" s="490">
        <f t="shared" si="6"/>
        <v>2845.0209020013699</v>
      </c>
    </row>
    <row r="25" spans="1:8" x14ac:dyDescent="0.25">
      <c r="A25" s="848" t="s">
        <v>1240</v>
      </c>
      <c r="B25" s="450">
        <f t="shared" si="8"/>
        <v>2845.0209020013699</v>
      </c>
      <c r="C25" s="491">
        <f t="shared" si="7"/>
        <v>248.88833333333332</v>
      </c>
      <c r="D25" s="564">
        <f t="shared" si="0"/>
        <v>1.0416666666666666E-2</v>
      </c>
      <c r="E25" s="490">
        <f t="shared" si="5"/>
        <v>29.635634395847603</v>
      </c>
      <c r="F25" s="490">
        <f t="shared" si="6"/>
        <v>2596.1325686680366</v>
      </c>
    </row>
    <row r="26" spans="1:8" x14ac:dyDescent="0.25">
      <c r="A26" s="848" t="s">
        <v>1241</v>
      </c>
      <c r="B26" s="450">
        <f t="shared" si="8"/>
        <v>2596.1325686680366</v>
      </c>
      <c r="C26" s="491">
        <f t="shared" si="7"/>
        <v>248.88833333333332</v>
      </c>
      <c r="D26" s="564">
        <f t="shared" si="0"/>
        <v>1.0416666666666666E-2</v>
      </c>
      <c r="E26" s="490">
        <f t="shared" si="5"/>
        <v>27.043047590292048</v>
      </c>
      <c r="F26" s="490">
        <f t="shared" si="6"/>
        <v>2347.2442353347033</v>
      </c>
    </row>
    <row r="27" spans="1:8" x14ac:dyDescent="0.25">
      <c r="A27" s="848" t="s">
        <v>1242</v>
      </c>
      <c r="B27" s="450">
        <f t="shared" si="8"/>
        <v>2347.2442353347033</v>
      </c>
      <c r="C27" s="491">
        <f t="shared" si="7"/>
        <v>248.88833333333332</v>
      </c>
      <c r="D27" s="564">
        <f t="shared" si="0"/>
        <v>1.0416666666666666E-2</v>
      </c>
      <c r="E27" s="490">
        <f t="shared" si="5"/>
        <v>24.450460784736492</v>
      </c>
      <c r="F27" s="490">
        <f t="shared" si="6"/>
        <v>2098.3559020013699</v>
      </c>
    </row>
    <row r="28" spans="1:8" x14ac:dyDescent="0.25">
      <c r="A28" s="848" t="s">
        <v>1243</v>
      </c>
      <c r="B28" s="450">
        <f t="shared" si="8"/>
        <v>2098.3559020013699</v>
      </c>
      <c r="C28" s="491">
        <f t="shared" si="7"/>
        <v>248.88833333333332</v>
      </c>
      <c r="D28" s="564">
        <f t="shared" si="0"/>
        <v>1.0416666666666666E-2</v>
      </c>
      <c r="E28" s="490">
        <f t="shared" si="5"/>
        <v>21.857873979180937</v>
      </c>
      <c r="F28" s="490">
        <f t="shared" si="6"/>
        <v>1849.4675686680366</v>
      </c>
    </row>
    <row r="29" spans="1:8" x14ac:dyDescent="0.25">
      <c r="A29" s="848" t="s">
        <v>1244</v>
      </c>
      <c r="B29" s="450">
        <f t="shared" si="8"/>
        <v>1849.4675686680366</v>
      </c>
      <c r="C29" s="491">
        <f t="shared" si="7"/>
        <v>248.88833333333332</v>
      </c>
      <c r="D29" s="564">
        <f t="shared" si="0"/>
        <v>1.0416666666666666E-2</v>
      </c>
      <c r="E29" s="490">
        <f t="shared" si="5"/>
        <v>19.265287173625381</v>
      </c>
      <c r="F29" s="490">
        <f t="shared" si="6"/>
        <v>1600.5792353347033</v>
      </c>
    </row>
    <row r="30" spans="1:8" x14ac:dyDescent="0.25">
      <c r="A30" s="848" t="s">
        <v>1245</v>
      </c>
      <c r="B30" s="450">
        <f t="shared" si="8"/>
        <v>1600.5792353347033</v>
      </c>
      <c r="C30" s="491">
        <f t="shared" si="7"/>
        <v>248.88833333333332</v>
      </c>
      <c r="D30" s="564">
        <f t="shared" si="0"/>
        <v>1.0416666666666666E-2</v>
      </c>
      <c r="E30" s="490">
        <f t="shared" si="5"/>
        <v>16.672700368069826</v>
      </c>
      <c r="F30" s="490">
        <f t="shared" si="6"/>
        <v>1351.69090200137</v>
      </c>
      <c r="G30" s="442">
        <f>SUM(C20:C30)</f>
        <v>2239.9949999999999</v>
      </c>
    </row>
    <row r="31" spans="1:8" x14ac:dyDescent="0.25">
      <c r="A31" s="847" t="s">
        <v>1246</v>
      </c>
      <c r="B31" s="450">
        <f t="shared" si="8"/>
        <v>1351.69090200137</v>
      </c>
      <c r="C31" s="491">
        <f>C124-G30</f>
        <v>746.66499999999996</v>
      </c>
      <c r="D31" s="564">
        <f t="shared" si="0"/>
        <v>1.0416666666666666E-2</v>
      </c>
      <c r="E31" s="490">
        <f t="shared" si="5"/>
        <v>14.080113562514271</v>
      </c>
      <c r="F31" s="490">
        <f t="shared" si="6"/>
        <v>605.02590200137001</v>
      </c>
      <c r="G31" s="442"/>
      <c r="H31" s="1">
        <f>F31/1.18</f>
        <v>512.73381525539833</v>
      </c>
    </row>
    <row r="32" spans="1:8" ht="25.15" customHeight="1" x14ac:dyDescent="0.25">
      <c r="A32" s="566" t="s">
        <v>1218</v>
      </c>
      <c r="B32" s="489">
        <f>'2 ИП ТС'!P58+Кредит!F32</f>
        <v>6936.81590200137</v>
      </c>
      <c r="C32" s="565"/>
      <c r="D32" s="892">
        <f>8.5%+4%</f>
        <v>0.125</v>
      </c>
      <c r="E32" s="488"/>
      <c r="F32" s="489">
        <f>F31</f>
        <v>605.02590200137001</v>
      </c>
    </row>
    <row r="33" spans="1:9" x14ac:dyDescent="0.25">
      <c r="A33" s="847" t="s">
        <v>1235</v>
      </c>
      <c r="B33" s="450">
        <f>B32</f>
        <v>6936.81590200137</v>
      </c>
      <c r="C33" s="491">
        <f>C$125/13</f>
        <v>241.58846153846156</v>
      </c>
      <c r="D33" s="564">
        <f>$D$32/12</f>
        <v>1.0416666666666666E-2</v>
      </c>
      <c r="E33" s="490">
        <f t="shared" ref="E33:E57" si="9">B33*D33</f>
        <v>72.258498979180928</v>
      </c>
      <c r="F33" s="490">
        <f t="shared" ref="F33:F57" si="10">B33-C33</f>
        <v>6695.2274404629088</v>
      </c>
      <c r="G33" s="574"/>
    </row>
    <row r="34" spans="1:9" x14ac:dyDescent="0.25">
      <c r="A34" s="848" t="s">
        <v>1236</v>
      </c>
      <c r="B34" s="450">
        <f>F33</f>
        <v>6695.2274404629088</v>
      </c>
      <c r="C34" s="491">
        <f t="shared" ref="C34:C43" si="11">C$125/13</f>
        <v>241.58846153846156</v>
      </c>
      <c r="D34" s="564">
        <f t="shared" ref="D34:D57" si="12">$D$32/12</f>
        <v>1.0416666666666666E-2</v>
      </c>
      <c r="E34" s="490">
        <f t="shared" si="9"/>
        <v>69.741952504821967</v>
      </c>
      <c r="F34" s="490">
        <f t="shared" si="10"/>
        <v>6453.6389789244477</v>
      </c>
      <c r="G34" s="575"/>
    </row>
    <row r="35" spans="1:9" x14ac:dyDescent="0.25">
      <c r="A35" s="848" t="s">
        <v>1237</v>
      </c>
      <c r="B35" s="450">
        <f t="shared" ref="B35:B44" si="13">F34</f>
        <v>6453.6389789244477</v>
      </c>
      <c r="C35" s="491">
        <f t="shared" si="11"/>
        <v>241.58846153846156</v>
      </c>
      <c r="D35" s="564">
        <f t="shared" si="12"/>
        <v>1.0416666666666666E-2</v>
      </c>
      <c r="E35" s="490">
        <f t="shared" si="9"/>
        <v>67.225406030462992</v>
      </c>
      <c r="F35" s="490">
        <f t="shared" si="10"/>
        <v>6212.0505173859865</v>
      </c>
    </row>
    <row r="36" spans="1:9" x14ac:dyDescent="0.25">
      <c r="A36" s="848" t="s">
        <v>1238</v>
      </c>
      <c r="B36" s="450">
        <f t="shared" si="13"/>
        <v>6212.0505173859865</v>
      </c>
      <c r="C36" s="491">
        <f t="shared" si="11"/>
        <v>241.58846153846156</v>
      </c>
      <c r="D36" s="564">
        <f t="shared" si="12"/>
        <v>1.0416666666666666E-2</v>
      </c>
      <c r="E36" s="490">
        <f t="shared" si="9"/>
        <v>64.708859556104017</v>
      </c>
      <c r="F36" s="490">
        <f t="shared" si="10"/>
        <v>5970.4620558475253</v>
      </c>
    </row>
    <row r="37" spans="1:9" x14ac:dyDescent="0.25">
      <c r="A37" s="848" t="s">
        <v>1239</v>
      </c>
      <c r="B37" s="450">
        <f t="shared" si="13"/>
        <v>5970.4620558475253</v>
      </c>
      <c r="C37" s="491">
        <f t="shared" si="11"/>
        <v>241.58846153846156</v>
      </c>
      <c r="D37" s="564">
        <f t="shared" si="12"/>
        <v>1.0416666666666666E-2</v>
      </c>
      <c r="E37" s="490">
        <f t="shared" si="9"/>
        <v>62.192313081745056</v>
      </c>
      <c r="F37" s="490">
        <f t="shared" si="10"/>
        <v>5728.8735943090642</v>
      </c>
    </row>
    <row r="38" spans="1:9" x14ac:dyDescent="0.25">
      <c r="A38" s="848" t="s">
        <v>1240</v>
      </c>
      <c r="B38" s="450">
        <f t="shared" si="13"/>
        <v>5728.8735943090642</v>
      </c>
      <c r="C38" s="491">
        <f t="shared" si="11"/>
        <v>241.58846153846156</v>
      </c>
      <c r="D38" s="564">
        <f t="shared" si="12"/>
        <v>1.0416666666666666E-2</v>
      </c>
      <c r="E38" s="490">
        <f t="shared" si="9"/>
        <v>59.67576660738608</v>
      </c>
      <c r="F38" s="490">
        <f t="shared" si="10"/>
        <v>5487.285132770603</v>
      </c>
    </row>
    <row r="39" spans="1:9" x14ac:dyDescent="0.25">
      <c r="A39" s="848" t="s">
        <v>1241</v>
      </c>
      <c r="B39" s="450">
        <f t="shared" si="13"/>
        <v>5487.285132770603</v>
      </c>
      <c r="C39" s="491">
        <f t="shared" si="11"/>
        <v>241.58846153846156</v>
      </c>
      <c r="D39" s="564">
        <f t="shared" si="12"/>
        <v>1.0416666666666666E-2</v>
      </c>
      <c r="E39" s="490">
        <f t="shared" si="9"/>
        <v>57.159220133027112</v>
      </c>
      <c r="F39" s="490">
        <f t="shared" si="10"/>
        <v>5245.6966712321419</v>
      </c>
    </row>
    <row r="40" spans="1:9" x14ac:dyDescent="0.25">
      <c r="A40" s="848" t="s">
        <v>1242</v>
      </c>
      <c r="B40" s="450">
        <f t="shared" si="13"/>
        <v>5245.6966712321419</v>
      </c>
      <c r="C40" s="491">
        <f t="shared" si="11"/>
        <v>241.58846153846156</v>
      </c>
      <c r="D40" s="564">
        <f t="shared" si="12"/>
        <v>1.0416666666666666E-2</v>
      </c>
      <c r="E40" s="490">
        <f t="shared" si="9"/>
        <v>54.642673658668144</v>
      </c>
      <c r="F40" s="490">
        <f t="shared" si="10"/>
        <v>5004.1082096936807</v>
      </c>
      <c r="G40" s="442"/>
    </row>
    <row r="41" spans="1:9" x14ac:dyDescent="0.25">
      <c r="A41" s="848" t="s">
        <v>1243</v>
      </c>
      <c r="B41" s="450">
        <f t="shared" si="13"/>
        <v>5004.1082096936807</v>
      </c>
      <c r="C41" s="491">
        <f t="shared" si="11"/>
        <v>241.58846153846156</v>
      </c>
      <c r="D41" s="564">
        <f t="shared" si="12"/>
        <v>1.0416666666666666E-2</v>
      </c>
      <c r="E41" s="490">
        <f t="shared" si="9"/>
        <v>52.126127184309169</v>
      </c>
      <c r="F41" s="490">
        <f t="shared" si="10"/>
        <v>4762.5197481552195</v>
      </c>
      <c r="G41" s="442"/>
      <c r="I41" s="442"/>
    </row>
    <row r="42" spans="1:9" x14ac:dyDescent="0.25">
      <c r="A42" s="848" t="s">
        <v>1244</v>
      </c>
      <c r="B42" s="450">
        <f t="shared" si="13"/>
        <v>4762.5197481552195</v>
      </c>
      <c r="C42" s="491">
        <f t="shared" si="11"/>
        <v>241.58846153846156</v>
      </c>
      <c r="D42" s="564">
        <f t="shared" si="12"/>
        <v>1.0416666666666666E-2</v>
      </c>
      <c r="E42" s="490">
        <f t="shared" si="9"/>
        <v>49.609580709950201</v>
      </c>
      <c r="F42" s="490">
        <f t="shared" si="10"/>
        <v>4520.9312866167584</v>
      </c>
      <c r="G42" s="442"/>
    </row>
    <row r="43" spans="1:9" x14ac:dyDescent="0.25">
      <c r="A43" s="848" t="s">
        <v>1245</v>
      </c>
      <c r="B43" s="450">
        <f t="shared" si="13"/>
        <v>4520.9312866167584</v>
      </c>
      <c r="C43" s="491">
        <f t="shared" si="11"/>
        <v>241.58846153846156</v>
      </c>
      <c r="D43" s="564">
        <f t="shared" si="12"/>
        <v>1.0416666666666666E-2</v>
      </c>
      <c r="E43" s="490">
        <f t="shared" si="9"/>
        <v>47.093034235591233</v>
      </c>
      <c r="F43" s="490">
        <f t="shared" si="10"/>
        <v>4279.3428250782972</v>
      </c>
      <c r="G43" s="442">
        <f>SUM(C33:C43)</f>
        <v>2657.4730769230773</v>
      </c>
    </row>
    <row r="44" spans="1:9" x14ac:dyDescent="0.25">
      <c r="A44" s="847" t="s">
        <v>1246</v>
      </c>
      <c r="B44" s="450">
        <f t="shared" si="13"/>
        <v>4279.3428250782972</v>
      </c>
      <c r="C44" s="491">
        <f>C125-G43</f>
        <v>483.17692307692278</v>
      </c>
      <c r="D44" s="564">
        <f t="shared" si="12"/>
        <v>1.0416666666666666E-2</v>
      </c>
      <c r="E44" s="490">
        <f t="shared" si="9"/>
        <v>44.576487761232258</v>
      </c>
      <c r="F44" s="490">
        <f t="shared" si="10"/>
        <v>3796.1659020013744</v>
      </c>
      <c r="H44" s="1">
        <f>F44/1.18</f>
        <v>3217.0897474587919</v>
      </c>
    </row>
    <row r="45" spans="1:9" ht="25.15" customHeight="1" x14ac:dyDescent="0.25">
      <c r="A45" s="566" t="s">
        <v>1219</v>
      </c>
      <c r="B45" s="489">
        <f>'2 ИП ТС'!Q58+Кредит!F45</f>
        <v>3796.1659020013744</v>
      </c>
      <c r="C45" s="565"/>
      <c r="D45" s="892">
        <f>8.5%+4%</f>
        <v>0.125</v>
      </c>
      <c r="E45" s="488"/>
      <c r="F45" s="489">
        <f>F44</f>
        <v>3796.1659020013744</v>
      </c>
    </row>
    <row r="46" spans="1:9" ht="15.6" customHeight="1" x14ac:dyDescent="0.25">
      <c r="A46" s="847" t="s">
        <v>1235</v>
      </c>
      <c r="B46" s="450">
        <f>B45</f>
        <v>3796.1659020013744</v>
      </c>
      <c r="C46" s="491">
        <f>C$126/13</f>
        <v>253.97615384615386</v>
      </c>
      <c r="D46" s="564">
        <f t="shared" si="12"/>
        <v>1.0416666666666666E-2</v>
      </c>
      <c r="E46" s="490">
        <f t="shared" si="9"/>
        <v>39.543394812514315</v>
      </c>
      <c r="F46" s="490">
        <f t="shared" si="10"/>
        <v>3542.1897481552205</v>
      </c>
    </row>
    <row r="47" spans="1:9" ht="15.6" customHeight="1" x14ac:dyDescent="0.25">
      <c r="A47" s="848" t="s">
        <v>1236</v>
      </c>
      <c r="B47" s="450">
        <f>F46</f>
        <v>3542.1897481552205</v>
      </c>
      <c r="C47" s="491">
        <f t="shared" ref="C47:C56" si="14">C$126/13</f>
        <v>253.97615384615386</v>
      </c>
      <c r="D47" s="564">
        <f t="shared" si="12"/>
        <v>1.0416666666666666E-2</v>
      </c>
      <c r="E47" s="490">
        <f t="shared" si="9"/>
        <v>36.897809876616876</v>
      </c>
      <c r="F47" s="490">
        <f t="shared" si="10"/>
        <v>3288.2135943090666</v>
      </c>
    </row>
    <row r="48" spans="1:9" ht="15.6" customHeight="1" x14ac:dyDescent="0.25">
      <c r="A48" s="848" t="s">
        <v>1237</v>
      </c>
      <c r="B48" s="450">
        <f t="shared" ref="B48:B57" si="15">F47</f>
        <v>3288.2135943090666</v>
      </c>
      <c r="C48" s="491">
        <f t="shared" si="14"/>
        <v>253.97615384615386</v>
      </c>
      <c r="D48" s="564">
        <f t="shared" si="12"/>
        <v>1.0416666666666666E-2</v>
      </c>
      <c r="E48" s="490">
        <f t="shared" si="9"/>
        <v>34.252224940719444</v>
      </c>
      <c r="F48" s="490">
        <f t="shared" si="10"/>
        <v>3034.2374404629127</v>
      </c>
    </row>
    <row r="49" spans="1:7" ht="15.6" customHeight="1" x14ac:dyDescent="0.25">
      <c r="A49" s="848" t="s">
        <v>1238</v>
      </c>
      <c r="B49" s="450">
        <f t="shared" si="15"/>
        <v>3034.2374404629127</v>
      </c>
      <c r="C49" s="491">
        <f t="shared" si="14"/>
        <v>253.97615384615386</v>
      </c>
      <c r="D49" s="564">
        <f t="shared" si="12"/>
        <v>1.0416666666666666E-2</v>
      </c>
      <c r="E49" s="490">
        <f t="shared" si="9"/>
        <v>31.606640004822005</v>
      </c>
      <c r="F49" s="490">
        <f t="shared" si="10"/>
        <v>2780.2612866167588</v>
      </c>
    </row>
    <row r="50" spans="1:7" ht="15.6" customHeight="1" x14ac:dyDescent="0.25">
      <c r="A50" s="848" t="s">
        <v>1239</v>
      </c>
      <c r="B50" s="450">
        <f t="shared" si="15"/>
        <v>2780.2612866167588</v>
      </c>
      <c r="C50" s="491">
        <f t="shared" si="14"/>
        <v>253.97615384615386</v>
      </c>
      <c r="D50" s="564">
        <f t="shared" si="12"/>
        <v>1.0416666666666666E-2</v>
      </c>
      <c r="E50" s="490">
        <f t="shared" si="9"/>
        <v>28.961055068924569</v>
      </c>
      <c r="F50" s="490">
        <f t="shared" si="10"/>
        <v>2526.2851327706048</v>
      </c>
    </row>
    <row r="51" spans="1:7" ht="15.6" customHeight="1" x14ac:dyDescent="0.25">
      <c r="A51" s="848" t="s">
        <v>1240</v>
      </c>
      <c r="B51" s="450">
        <f t="shared" si="15"/>
        <v>2526.2851327706048</v>
      </c>
      <c r="C51" s="491">
        <f t="shared" si="14"/>
        <v>253.97615384615386</v>
      </c>
      <c r="D51" s="564">
        <f t="shared" si="12"/>
        <v>1.0416666666666666E-2</v>
      </c>
      <c r="E51" s="490">
        <f t="shared" si="9"/>
        <v>26.315470133027134</v>
      </c>
      <c r="F51" s="490">
        <f t="shared" si="10"/>
        <v>2272.3089789244509</v>
      </c>
    </row>
    <row r="52" spans="1:7" ht="15.6" customHeight="1" x14ac:dyDescent="0.25">
      <c r="A52" s="848" t="s">
        <v>1241</v>
      </c>
      <c r="B52" s="450">
        <f t="shared" si="15"/>
        <v>2272.3089789244509</v>
      </c>
      <c r="C52" s="491">
        <f t="shared" si="14"/>
        <v>253.97615384615386</v>
      </c>
      <c r="D52" s="564">
        <f t="shared" si="12"/>
        <v>1.0416666666666666E-2</v>
      </c>
      <c r="E52" s="490">
        <f t="shared" si="9"/>
        <v>23.669885197129695</v>
      </c>
      <c r="F52" s="490">
        <f t="shared" si="10"/>
        <v>2018.332825078297</v>
      </c>
    </row>
    <row r="53" spans="1:7" ht="15.6" customHeight="1" x14ac:dyDescent="0.25">
      <c r="A53" s="848" t="s">
        <v>1242</v>
      </c>
      <c r="B53" s="450">
        <f t="shared" si="15"/>
        <v>2018.332825078297</v>
      </c>
      <c r="C53" s="491">
        <f t="shared" si="14"/>
        <v>253.97615384615386</v>
      </c>
      <c r="D53" s="564">
        <f t="shared" si="12"/>
        <v>1.0416666666666666E-2</v>
      </c>
      <c r="E53" s="490">
        <f t="shared" si="9"/>
        <v>21.024300261232259</v>
      </c>
      <c r="F53" s="490">
        <f t="shared" si="10"/>
        <v>1764.3566712321431</v>
      </c>
    </row>
    <row r="54" spans="1:7" ht="15.6" customHeight="1" x14ac:dyDescent="0.25">
      <c r="A54" s="848" t="s">
        <v>1243</v>
      </c>
      <c r="B54" s="450">
        <f t="shared" si="15"/>
        <v>1764.3566712321431</v>
      </c>
      <c r="C54" s="491">
        <f t="shared" si="14"/>
        <v>253.97615384615386</v>
      </c>
      <c r="D54" s="564">
        <f t="shared" si="12"/>
        <v>1.0416666666666666E-2</v>
      </c>
      <c r="E54" s="490">
        <f t="shared" si="9"/>
        <v>18.378715325334824</v>
      </c>
      <c r="F54" s="490">
        <f t="shared" si="10"/>
        <v>1510.3805173859892</v>
      </c>
    </row>
    <row r="55" spans="1:7" ht="15.6" customHeight="1" x14ac:dyDescent="0.25">
      <c r="A55" s="848" t="s">
        <v>1244</v>
      </c>
      <c r="B55" s="450">
        <f t="shared" si="15"/>
        <v>1510.3805173859892</v>
      </c>
      <c r="C55" s="491">
        <f t="shared" si="14"/>
        <v>253.97615384615386</v>
      </c>
      <c r="D55" s="564">
        <f t="shared" si="12"/>
        <v>1.0416666666666666E-2</v>
      </c>
      <c r="E55" s="490">
        <f t="shared" si="9"/>
        <v>15.733130389437386</v>
      </c>
      <c r="F55" s="490">
        <f t="shared" si="10"/>
        <v>1256.4043635398352</v>
      </c>
    </row>
    <row r="56" spans="1:7" ht="15.6" customHeight="1" x14ac:dyDescent="0.25">
      <c r="A56" s="848" t="s">
        <v>1245</v>
      </c>
      <c r="B56" s="450">
        <f t="shared" si="15"/>
        <v>1256.4043635398352</v>
      </c>
      <c r="C56" s="491">
        <f t="shared" si="14"/>
        <v>253.97615384615386</v>
      </c>
      <c r="D56" s="564">
        <f t="shared" si="12"/>
        <v>1.0416666666666666E-2</v>
      </c>
      <c r="E56" s="490">
        <f t="shared" si="9"/>
        <v>13.087545453539949</v>
      </c>
      <c r="F56" s="490">
        <f t="shared" si="10"/>
        <v>1002.4282096936813</v>
      </c>
      <c r="G56" s="442">
        <f>SUM(C46:C56)</f>
        <v>2793.7376923076927</v>
      </c>
    </row>
    <row r="57" spans="1:7" ht="15.6" customHeight="1" x14ac:dyDescent="0.25">
      <c r="A57" s="847" t="s">
        <v>1246</v>
      </c>
      <c r="B57" s="450">
        <f t="shared" si="15"/>
        <v>1002.4282096936813</v>
      </c>
      <c r="C57" s="491">
        <f>C126-G56</f>
        <v>507.95230769230739</v>
      </c>
      <c r="D57" s="564">
        <f t="shared" si="12"/>
        <v>1.0416666666666666E-2</v>
      </c>
      <c r="E57" s="490">
        <f t="shared" si="9"/>
        <v>10.441960517642514</v>
      </c>
      <c r="F57" s="490">
        <f t="shared" si="10"/>
        <v>494.47590200137392</v>
      </c>
    </row>
    <row r="58" spans="1:7" ht="15.6" customHeight="1" x14ac:dyDescent="0.25">
      <c r="A58" s="566" t="s">
        <v>1220</v>
      </c>
      <c r="B58" s="489">
        <f>'2 ИП ТС'!R58+Кредит!F58</f>
        <v>5095.0559020013734</v>
      </c>
      <c r="C58" s="565"/>
      <c r="D58" s="892">
        <f>8.5%+4%</f>
        <v>0.125</v>
      </c>
      <c r="E58" s="488"/>
      <c r="F58" s="489">
        <f>F57</f>
        <v>494.47590200137392</v>
      </c>
    </row>
    <row r="59" spans="1:7" ht="15.6" customHeight="1" x14ac:dyDescent="0.25">
      <c r="A59" s="847" t="s">
        <v>1235</v>
      </c>
      <c r="B59" s="694">
        <f>B58</f>
        <v>5095.0559020013734</v>
      </c>
      <c r="C59" s="695">
        <f>C$127/13</f>
        <v>267</v>
      </c>
      <c r="D59" s="564">
        <f t="shared" ref="D59:D122" si="16">$D$32/12</f>
        <v>1.0416666666666666E-2</v>
      </c>
      <c r="E59" s="490">
        <f t="shared" ref="E59:E70" si="17">B59*D59</f>
        <v>53.073498979180968</v>
      </c>
      <c r="F59" s="490">
        <f t="shared" ref="F59:F70" si="18">B59-C59</f>
        <v>4828.0559020013734</v>
      </c>
    </row>
    <row r="60" spans="1:7" ht="15.6" customHeight="1" x14ac:dyDescent="0.25">
      <c r="A60" s="848" t="s">
        <v>1236</v>
      </c>
      <c r="B60" s="694">
        <f>F59</f>
        <v>4828.0559020013734</v>
      </c>
      <c r="C60" s="695">
        <f t="shared" ref="C60:C69" si="19">C$127/13</f>
        <v>267</v>
      </c>
      <c r="D60" s="564">
        <f t="shared" si="16"/>
        <v>1.0416666666666666E-2</v>
      </c>
      <c r="E60" s="490">
        <f t="shared" si="17"/>
        <v>50.292248979180968</v>
      </c>
      <c r="F60" s="490">
        <f t="shared" si="18"/>
        <v>4561.0559020013734</v>
      </c>
    </row>
    <row r="61" spans="1:7" ht="15.6" customHeight="1" x14ac:dyDescent="0.25">
      <c r="A61" s="848" t="s">
        <v>1237</v>
      </c>
      <c r="B61" s="694">
        <f t="shared" ref="B61:B70" si="20">F60</f>
        <v>4561.0559020013734</v>
      </c>
      <c r="C61" s="695">
        <f t="shared" si="19"/>
        <v>267</v>
      </c>
      <c r="D61" s="564">
        <f t="shared" si="16"/>
        <v>1.0416666666666666E-2</v>
      </c>
      <c r="E61" s="490">
        <f t="shared" si="17"/>
        <v>47.510998979180968</v>
      </c>
      <c r="F61" s="490">
        <f t="shared" si="18"/>
        <v>4294.0559020013734</v>
      </c>
    </row>
    <row r="62" spans="1:7" ht="15.6" customHeight="1" x14ac:dyDescent="0.25">
      <c r="A62" s="848" t="s">
        <v>1238</v>
      </c>
      <c r="B62" s="694">
        <f t="shared" si="20"/>
        <v>4294.0559020013734</v>
      </c>
      <c r="C62" s="695">
        <f t="shared" si="19"/>
        <v>267</v>
      </c>
      <c r="D62" s="564">
        <f t="shared" si="16"/>
        <v>1.0416666666666666E-2</v>
      </c>
      <c r="E62" s="490">
        <f t="shared" si="17"/>
        <v>44.729748979180968</v>
      </c>
      <c r="F62" s="490">
        <f t="shared" si="18"/>
        <v>4027.0559020013734</v>
      </c>
    </row>
    <row r="63" spans="1:7" ht="15.6" customHeight="1" x14ac:dyDescent="0.25">
      <c r="A63" s="848" t="s">
        <v>1239</v>
      </c>
      <c r="B63" s="694">
        <f t="shared" si="20"/>
        <v>4027.0559020013734</v>
      </c>
      <c r="C63" s="695">
        <f t="shared" si="19"/>
        <v>267</v>
      </c>
      <c r="D63" s="564">
        <f t="shared" si="16"/>
        <v>1.0416666666666666E-2</v>
      </c>
      <c r="E63" s="490">
        <f t="shared" si="17"/>
        <v>41.948498979180968</v>
      </c>
      <c r="F63" s="490">
        <f t="shared" si="18"/>
        <v>3760.0559020013734</v>
      </c>
    </row>
    <row r="64" spans="1:7" ht="15.6" customHeight="1" x14ac:dyDescent="0.25">
      <c r="A64" s="848" t="s">
        <v>1240</v>
      </c>
      <c r="B64" s="694">
        <f t="shared" si="20"/>
        <v>3760.0559020013734</v>
      </c>
      <c r="C64" s="695">
        <f t="shared" si="19"/>
        <v>267</v>
      </c>
      <c r="D64" s="564">
        <f t="shared" si="16"/>
        <v>1.0416666666666666E-2</v>
      </c>
      <c r="E64" s="490">
        <f t="shared" si="17"/>
        <v>39.167248979180968</v>
      </c>
      <c r="F64" s="490">
        <f t="shared" si="18"/>
        <v>3493.0559020013734</v>
      </c>
    </row>
    <row r="65" spans="1:7" ht="15.6" customHeight="1" x14ac:dyDescent="0.25">
      <c r="A65" s="848" t="s">
        <v>1241</v>
      </c>
      <c r="B65" s="694">
        <f t="shared" si="20"/>
        <v>3493.0559020013734</v>
      </c>
      <c r="C65" s="695">
        <f t="shared" si="19"/>
        <v>267</v>
      </c>
      <c r="D65" s="564">
        <f t="shared" si="16"/>
        <v>1.0416666666666666E-2</v>
      </c>
      <c r="E65" s="490">
        <f t="shared" si="17"/>
        <v>36.385998979180968</v>
      </c>
      <c r="F65" s="490">
        <f t="shared" si="18"/>
        <v>3226.0559020013734</v>
      </c>
    </row>
    <row r="66" spans="1:7" ht="15.6" customHeight="1" x14ac:dyDescent="0.25">
      <c r="A66" s="848" t="s">
        <v>1242</v>
      </c>
      <c r="B66" s="694">
        <f t="shared" si="20"/>
        <v>3226.0559020013734</v>
      </c>
      <c r="C66" s="695">
        <f t="shared" si="19"/>
        <v>267</v>
      </c>
      <c r="D66" s="564">
        <f t="shared" si="16"/>
        <v>1.0416666666666666E-2</v>
      </c>
      <c r="E66" s="490">
        <f t="shared" si="17"/>
        <v>33.604748979180968</v>
      </c>
      <c r="F66" s="490">
        <f t="shared" si="18"/>
        <v>2959.0559020013734</v>
      </c>
    </row>
    <row r="67" spans="1:7" ht="15.6" customHeight="1" x14ac:dyDescent="0.25">
      <c r="A67" s="848" t="s">
        <v>1243</v>
      </c>
      <c r="B67" s="694">
        <f t="shared" si="20"/>
        <v>2959.0559020013734</v>
      </c>
      <c r="C67" s="695">
        <f t="shared" si="19"/>
        <v>267</v>
      </c>
      <c r="D67" s="564">
        <f t="shared" si="16"/>
        <v>1.0416666666666666E-2</v>
      </c>
      <c r="E67" s="490">
        <f t="shared" si="17"/>
        <v>30.823498979180972</v>
      </c>
      <c r="F67" s="490">
        <f t="shared" si="18"/>
        <v>2692.0559020013734</v>
      </c>
    </row>
    <row r="68" spans="1:7" ht="15.6" customHeight="1" x14ac:dyDescent="0.25">
      <c r="A68" s="848" t="s">
        <v>1244</v>
      </c>
      <c r="B68" s="694">
        <f t="shared" si="20"/>
        <v>2692.0559020013734</v>
      </c>
      <c r="C68" s="695">
        <f t="shared" si="19"/>
        <v>267</v>
      </c>
      <c r="D68" s="564">
        <f t="shared" si="16"/>
        <v>1.0416666666666666E-2</v>
      </c>
      <c r="E68" s="490">
        <f t="shared" si="17"/>
        <v>28.042248979180972</v>
      </c>
      <c r="F68" s="490">
        <f t="shared" si="18"/>
        <v>2425.0559020013734</v>
      </c>
    </row>
    <row r="69" spans="1:7" ht="15.6" customHeight="1" x14ac:dyDescent="0.25">
      <c r="A69" s="848" t="s">
        <v>1245</v>
      </c>
      <c r="B69" s="694">
        <f t="shared" si="20"/>
        <v>2425.0559020013734</v>
      </c>
      <c r="C69" s="695">
        <f t="shared" si="19"/>
        <v>267</v>
      </c>
      <c r="D69" s="564">
        <f t="shared" si="16"/>
        <v>1.0416666666666666E-2</v>
      </c>
      <c r="E69" s="490">
        <f t="shared" si="17"/>
        <v>25.260998979180972</v>
      </c>
      <c r="F69" s="490">
        <f t="shared" si="18"/>
        <v>2158.0559020013734</v>
      </c>
      <c r="G69" s="703">
        <f>SUM(C59:C69)</f>
        <v>2937</v>
      </c>
    </row>
    <row r="70" spans="1:7" ht="15.6" customHeight="1" x14ac:dyDescent="0.25">
      <c r="A70" s="847" t="s">
        <v>1246</v>
      </c>
      <c r="B70" s="694">
        <f t="shared" si="20"/>
        <v>2158.0559020013734</v>
      </c>
      <c r="C70" s="695">
        <f>C127-G69</f>
        <v>534</v>
      </c>
      <c r="D70" s="564">
        <f t="shared" si="16"/>
        <v>1.0416666666666666E-2</v>
      </c>
      <c r="E70" s="490">
        <f t="shared" si="17"/>
        <v>22.479748979180972</v>
      </c>
      <c r="F70" s="490">
        <f t="shared" si="18"/>
        <v>1624.0559020013734</v>
      </c>
    </row>
    <row r="71" spans="1:7" ht="15.6" customHeight="1" x14ac:dyDescent="0.25">
      <c r="A71" s="566" t="s">
        <v>1224</v>
      </c>
      <c r="B71" s="489">
        <f>'2 ИП ТС'!S58+Кредит!F71</f>
        <v>1624.0559020013734</v>
      </c>
      <c r="C71" s="565"/>
      <c r="D71" s="892">
        <f>8.5%+4%</f>
        <v>0.125</v>
      </c>
      <c r="E71" s="488"/>
      <c r="F71" s="489">
        <f>F70</f>
        <v>1624.0559020013734</v>
      </c>
    </row>
    <row r="72" spans="1:7" ht="15.6" customHeight="1" x14ac:dyDescent="0.25">
      <c r="A72" s="847" t="s">
        <v>1235</v>
      </c>
      <c r="B72" s="694">
        <f>B71</f>
        <v>1624.0559020013734</v>
      </c>
      <c r="C72" s="695">
        <f>C$128/13</f>
        <v>124.9276923076923</v>
      </c>
      <c r="D72" s="564">
        <f t="shared" si="16"/>
        <v>1.0416666666666666E-2</v>
      </c>
      <c r="E72" s="490">
        <f t="shared" ref="E72:E83" si="21">B72*D72</f>
        <v>16.917248979180972</v>
      </c>
      <c r="F72" s="490">
        <f t="shared" ref="F72:F83" si="22">B72-C72</f>
        <v>1499.1282096936811</v>
      </c>
    </row>
    <row r="73" spans="1:7" ht="15.6" customHeight="1" x14ac:dyDescent="0.25">
      <c r="A73" s="848" t="s">
        <v>1236</v>
      </c>
      <c r="B73" s="694">
        <f>F72</f>
        <v>1499.1282096936811</v>
      </c>
      <c r="C73" s="695">
        <f t="shared" ref="C73:C82" si="23">C$128/13</f>
        <v>124.9276923076923</v>
      </c>
      <c r="D73" s="564">
        <f t="shared" si="16"/>
        <v>1.0416666666666666E-2</v>
      </c>
      <c r="E73" s="490">
        <f t="shared" si="21"/>
        <v>15.615918850975845</v>
      </c>
      <c r="F73" s="490">
        <f t="shared" si="22"/>
        <v>1374.2005173859889</v>
      </c>
    </row>
    <row r="74" spans="1:7" ht="15.6" customHeight="1" x14ac:dyDescent="0.25">
      <c r="A74" s="848" t="s">
        <v>1237</v>
      </c>
      <c r="B74" s="694">
        <f t="shared" ref="B74:B83" si="24">F73</f>
        <v>1374.2005173859889</v>
      </c>
      <c r="C74" s="695">
        <f t="shared" si="23"/>
        <v>124.9276923076923</v>
      </c>
      <c r="D74" s="564">
        <f t="shared" si="16"/>
        <v>1.0416666666666666E-2</v>
      </c>
      <c r="E74" s="490">
        <f t="shared" si="21"/>
        <v>14.314588722770717</v>
      </c>
      <c r="F74" s="490">
        <f t="shared" si="22"/>
        <v>1249.2728250782966</v>
      </c>
    </row>
    <row r="75" spans="1:7" ht="15.6" customHeight="1" x14ac:dyDescent="0.25">
      <c r="A75" s="848" t="s">
        <v>1238</v>
      </c>
      <c r="B75" s="694">
        <f t="shared" si="24"/>
        <v>1249.2728250782966</v>
      </c>
      <c r="C75" s="695">
        <f t="shared" si="23"/>
        <v>124.9276923076923</v>
      </c>
      <c r="D75" s="564">
        <f t="shared" si="16"/>
        <v>1.0416666666666666E-2</v>
      </c>
      <c r="E75" s="490">
        <f t="shared" si="21"/>
        <v>13.013258594565588</v>
      </c>
      <c r="F75" s="490">
        <f t="shared" si="22"/>
        <v>1124.3451327706043</v>
      </c>
    </row>
    <row r="76" spans="1:7" ht="15.6" customHeight="1" x14ac:dyDescent="0.25">
      <c r="A76" s="848" t="s">
        <v>1239</v>
      </c>
      <c r="B76" s="694">
        <f t="shared" si="24"/>
        <v>1124.3451327706043</v>
      </c>
      <c r="C76" s="695">
        <f t="shared" si="23"/>
        <v>124.9276923076923</v>
      </c>
      <c r="D76" s="564">
        <f t="shared" si="16"/>
        <v>1.0416666666666666E-2</v>
      </c>
      <c r="E76" s="490">
        <f t="shared" si="21"/>
        <v>11.711928466360462</v>
      </c>
      <c r="F76" s="490">
        <f t="shared" si="22"/>
        <v>999.41744046291205</v>
      </c>
    </row>
    <row r="77" spans="1:7" ht="15.6" customHeight="1" x14ac:dyDescent="0.25">
      <c r="A77" s="848" t="s">
        <v>1240</v>
      </c>
      <c r="B77" s="694">
        <f t="shared" si="24"/>
        <v>999.41744046291205</v>
      </c>
      <c r="C77" s="695">
        <f t="shared" si="23"/>
        <v>124.9276923076923</v>
      </c>
      <c r="D77" s="564">
        <f t="shared" si="16"/>
        <v>1.0416666666666666E-2</v>
      </c>
      <c r="E77" s="490">
        <f t="shared" si="21"/>
        <v>10.410598338155333</v>
      </c>
      <c r="F77" s="490">
        <f t="shared" si="22"/>
        <v>874.48974815521979</v>
      </c>
    </row>
    <row r="78" spans="1:7" ht="15.6" customHeight="1" x14ac:dyDescent="0.25">
      <c r="A78" s="848" t="s">
        <v>1241</v>
      </c>
      <c r="B78" s="694">
        <f t="shared" si="24"/>
        <v>874.48974815521979</v>
      </c>
      <c r="C78" s="695">
        <f t="shared" si="23"/>
        <v>124.9276923076923</v>
      </c>
      <c r="D78" s="564">
        <f t="shared" si="16"/>
        <v>1.0416666666666666E-2</v>
      </c>
      <c r="E78" s="490">
        <f t="shared" si="21"/>
        <v>9.1092682099502049</v>
      </c>
      <c r="F78" s="490">
        <f t="shared" si="22"/>
        <v>749.56205584752752</v>
      </c>
    </row>
    <row r="79" spans="1:7" ht="15.6" customHeight="1" x14ac:dyDescent="0.25">
      <c r="A79" s="848" t="s">
        <v>1242</v>
      </c>
      <c r="B79" s="694">
        <f t="shared" si="24"/>
        <v>749.56205584752752</v>
      </c>
      <c r="C79" s="695">
        <f t="shared" si="23"/>
        <v>124.9276923076923</v>
      </c>
      <c r="D79" s="564">
        <f t="shared" si="16"/>
        <v>1.0416666666666666E-2</v>
      </c>
      <c r="E79" s="490">
        <f t="shared" si="21"/>
        <v>7.8079380817450783</v>
      </c>
      <c r="F79" s="490">
        <f t="shared" si="22"/>
        <v>624.63436353983525</v>
      </c>
    </row>
    <row r="80" spans="1:7" ht="15.6" customHeight="1" x14ac:dyDescent="0.25">
      <c r="A80" s="848" t="s">
        <v>1243</v>
      </c>
      <c r="B80" s="694">
        <f t="shared" si="24"/>
        <v>624.63436353983525</v>
      </c>
      <c r="C80" s="695">
        <f t="shared" si="23"/>
        <v>124.9276923076923</v>
      </c>
      <c r="D80" s="564">
        <f t="shared" si="16"/>
        <v>1.0416666666666666E-2</v>
      </c>
      <c r="E80" s="490">
        <f t="shared" si="21"/>
        <v>6.5066079535399499</v>
      </c>
      <c r="F80" s="490">
        <f t="shared" si="22"/>
        <v>499.70667123214298</v>
      </c>
    </row>
    <row r="81" spans="1:7" ht="15.6" customHeight="1" x14ac:dyDescent="0.25">
      <c r="A81" s="848" t="s">
        <v>1244</v>
      </c>
      <c r="B81" s="694">
        <f t="shared" si="24"/>
        <v>499.70667123214298</v>
      </c>
      <c r="C81" s="695">
        <f t="shared" si="23"/>
        <v>124.9276923076923</v>
      </c>
      <c r="D81" s="564">
        <f t="shared" si="16"/>
        <v>1.0416666666666666E-2</v>
      </c>
      <c r="E81" s="490">
        <f t="shared" si="21"/>
        <v>5.2052778253348224</v>
      </c>
      <c r="F81" s="490">
        <f t="shared" si="22"/>
        <v>374.77897892445071</v>
      </c>
    </row>
    <row r="82" spans="1:7" ht="15.6" customHeight="1" x14ac:dyDescent="0.25">
      <c r="A82" s="848" t="s">
        <v>1245</v>
      </c>
      <c r="B82" s="694">
        <f t="shared" si="24"/>
        <v>374.77897892445071</v>
      </c>
      <c r="C82" s="695">
        <f t="shared" si="23"/>
        <v>124.9276923076923</v>
      </c>
      <c r="D82" s="564">
        <f t="shared" si="16"/>
        <v>1.0416666666666666E-2</v>
      </c>
      <c r="E82" s="490">
        <f t="shared" si="21"/>
        <v>3.9039476971296949</v>
      </c>
      <c r="F82" s="490">
        <f t="shared" si="22"/>
        <v>249.85128661675841</v>
      </c>
      <c r="G82" s="703">
        <f>SUM(C72:C82)</f>
        <v>1374.2046153846152</v>
      </c>
    </row>
    <row r="83" spans="1:7" ht="15.6" customHeight="1" x14ac:dyDescent="0.25">
      <c r="A83" s="847" t="s">
        <v>1246</v>
      </c>
      <c r="B83" s="694">
        <f t="shared" si="24"/>
        <v>249.85128661675841</v>
      </c>
      <c r="C83" s="695">
        <f>C128-G82</f>
        <v>249.85538461538476</v>
      </c>
      <c r="D83" s="564">
        <f t="shared" si="16"/>
        <v>1.0416666666666666E-2</v>
      </c>
      <c r="E83" s="490">
        <f t="shared" si="21"/>
        <v>2.6026175689245665</v>
      </c>
      <c r="F83" s="490">
        <f t="shared" si="22"/>
        <v>-4.0979986263494084E-3</v>
      </c>
    </row>
    <row r="84" spans="1:7" ht="15.6" customHeight="1" x14ac:dyDescent="0.25">
      <c r="A84" s="566" t="s">
        <v>1223</v>
      </c>
      <c r="B84" s="489">
        <f>'2 ИП ТС'!T58+Кредит!F84</f>
        <v>2807.5559020013734</v>
      </c>
      <c r="C84" s="565"/>
      <c r="D84" s="892">
        <f>8.5%+4%</f>
        <v>0.125</v>
      </c>
      <c r="E84" s="488"/>
      <c r="F84" s="489">
        <f>F83</f>
        <v>-4.0979986263494084E-3</v>
      </c>
    </row>
    <row r="85" spans="1:7" ht="15.6" customHeight="1" x14ac:dyDescent="0.25">
      <c r="A85" s="847" t="s">
        <v>1235</v>
      </c>
      <c r="B85" s="694"/>
      <c r="C85" s="695"/>
      <c r="D85" s="564">
        <f t="shared" si="16"/>
        <v>1.0416666666666666E-2</v>
      </c>
      <c r="E85" s="490">
        <f t="shared" ref="E85:E96" si="25">B85*D85</f>
        <v>0</v>
      </c>
      <c r="F85" s="490">
        <f t="shared" ref="F85:F96" si="26">B85-C85</f>
        <v>0</v>
      </c>
    </row>
    <row r="86" spans="1:7" ht="15.6" customHeight="1" x14ac:dyDescent="0.25">
      <c r="A86" s="848" t="s">
        <v>1236</v>
      </c>
      <c r="B86" s="694"/>
      <c r="C86" s="695"/>
      <c r="D86" s="564">
        <f t="shared" si="16"/>
        <v>1.0416666666666666E-2</v>
      </c>
      <c r="E86" s="490">
        <f t="shared" si="25"/>
        <v>0</v>
      </c>
      <c r="F86" s="490">
        <f t="shared" si="26"/>
        <v>0</v>
      </c>
    </row>
    <row r="87" spans="1:7" ht="15.6" customHeight="1" x14ac:dyDescent="0.25">
      <c r="A87" s="848" t="s">
        <v>1237</v>
      </c>
      <c r="B87" s="694">
        <f>B84</f>
        <v>2807.5559020013734</v>
      </c>
      <c r="C87" s="695">
        <f>C$129/12</f>
        <v>233.96333333333334</v>
      </c>
      <c r="D87" s="564">
        <f t="shared" si="16"/>
        <v>1.0416666666666666E-2</v>
      </c>
      <c r="E87" s="490">
        <f t="shared" si="25"/>
        <v>29.245373979180972</v>
      </c>
      <c r="F87" s="490">
        <f t="shared" si="26"/>
        <v>2573.5925686680403</v>
      </c>
    </row>
    <row r="88" spans="1:7" ht="15.6" customHeight="1" x14ac:dyDescent="0.25">
      <c r="A88" s="848" t="s">
        <v>1238</v>
      </c>
      <c r="B88" s="694">
        <f>F87</f>
        <v>2573.5925686680403</v>
      </c>
      <c r="C88" s="695">
        <f t="shared" ref="C88:C95" si="27">C$129/12</f>
        <v>233.96333333333334</v>
      </c>
      <c r="D88" s="564">
        <f t="shared" si="16"/>
        <v>1.0416666666666666E-2</v>
      </c>
      <c r="E88" s="490">
        <f t="shared" si="25"/>
        <v>26.808255923625417</v>
      </c>
      <c r="F88" s="490">
        <f t="shared" si="26"/>
        <v>2339.6292353347071</v>
      </c>
    </row>
    <row r="89" spans="1:7" ht="15.6" customHeight="1" x14ac:dyDescent="0.25">
      <c r="A89" s="848" t="s">
        <v>1239</v>
      </c>
      <c r="B89" s="694">
        <f t="shared" ref="B89:B96" si="28">F88</f>
        <v>2339.6292353347071</v>
      </c>
      <c r="C89" s="695">
        <f t="shared" si="27"/>
        <v>233.96333333333334</v>
      </c>
      <c r="D89" s="564">
        <f t="shared" si="16"/>
        <v>1.0416666666666666E-2</v>
      </c>
      <c r="E89" s="490">
        <f t="shared" si="25"/>
        <v>24.371137868069866</v>
      </c>
      <c r="F89" s="490">
        <f t="shared" si="26"/>
        <v>2105.665902001374</v>
      </c>
    </row>
    <row r="90" spans="1:7" ht="15.6" customHeight="1" x14ac:dyDescent="0.25">
      <c r="A90" s="848" t="s">
        <v>1240</v>
      </c>
      <c r="B90" s="694">
        <f t="shared" si="28"/>
        <v>2105.665902001374</v>
      </c>
      <c r="C90" s="695">
        <f t="shared" si="27"/>
        <v>233.96333333333334</v>
      </c>
      <c r="D90" s="564">
        <f t="shared" si="16"/>
        <v>1.0416666666666666E-2</v>
      </c>
      <c r="E90" s="490">
        <f t="shared" si="25"/>
        <v>21.934019812514311</v>
      </c>
      <c r="F90" s="490">
        <f t="shared" si="26"/>
        <v>1871.7025686680406</v>
      </c>
    </row>
    <row r="91" spans="1:7" ht="15.6" customHeight="1" x14ac:dyDescent="0.25">
      <c r="A91" s="848" t="s">
        <v>1241</v>
      </c>
      <c r="B91" s="694">
        <f t="shared" si="28"/>
        <v>1871.7025686680406</v>
      </c>
      <c r="C91" s="695">
        <f t="shared" si="27"/>
        <v>233.96333333333334</v>
      </c>
      <c r="D91" s="564">
        <f t="shared" si="16"/>
        <v>1.0416666666666666E-2</v>
      </c>
      <c r="E91" s="490">
        <f t="shared" si="25"/>
        <v>19.496901756958756</v>
      </c>
      <c r="F91" s="490">
        <f t="shared" si="26"/>
        <v>1637.7392353347072</v>
      </c>
    </row>
    <row r="92" spans="1:7" ht="15.6" customHeight="1" x14ac:dyDescent="0.25">
      <c r="A92" s="848" t="s">
        <v>1242</v>
      </c>
      <c r="B92" s="694">
        <f t="shared" si="28"/>
        <v>1637.7392353347072</v>
      </c>
      <c r="C92" s="695">
        <f t="shared" si="27"/>
        <v>233.96333333333334</v>
      </c>
      <c r="D92" s="564">
        <f t="shared" si="16"/>
        <v>1.0416666666666666E-2</v>
      </c>
      <c r="E92" s="490">
        <f t="shared" si="25"/>
        <v>17.059783701403198</v>
      </c>
      <c r="F92" s="490">
        <f t="shared" si="26"/>
        <v>1403.7759020013739</v>
      </c>
    </row>
    <row r="93" spans="1:7" ht="15.6" customHeight="1" x14ac:dyDescent="0.25">
      <c r="A93" s="848" t="s">
        <v>1243</v>
      </c>
      <c r="B93" s="694">
        <f t="shared" si="28"/>
        <v>1403.7759020013739</v>
      </c>
      <c r="C93" s="695">
        <f t="shared" si="27"/>
        <v>233.96333333333334</v>
      </c>
      <c r="D93" s="564">
        <f t="shared" si="16"/>
        <v>1.0416666666666666E-2</v>
      </c>
      <c r="E93" s="490">
        <f t="shared" si="25"/>
        <v>14.622665645847643</v>
      </c>
      <c r="F93" s="490">
        <f t="shared" si="26"/>
        <v>1169.8125686680405</v>
      </c>
    </row>
    <row r="94" spans="1:7" ht="15.6" customHeight="1" x14ac:dyDescent="0.25">
      <c r="A94" s="848" t="s">
        <v>1244</v>
      </c>
      <c r="B94" s="694">
        <f t="shared" si="28"/>
        <v>1169.8125686680405</v>
      </c>
      <c r="C94" s="695">
        <f t="shared" si="27"/>
        <v>233.96333333333334</v>
      </c>
      <c r="D94" s="564">
        <f t="shared" si="16"/>
        <v>1.0416666666666666E-2</v>
      </c>
      <c r="E94" s="490">
        <f t="shared" si="25"/>
        <v>12.185547590292089</v>
      </c>
      <c r="F94" s="490">
        <f t="shared" si="26"/>
        <v>935.84923533470715</v>
      </c>
    </row>
    <row r="95" spans="1:7" ht="15.6" customHeight="1" x14ac:dyDescent="0.25">
      <c r="A95" s="848" t="s">
        <v>1245</v>
      </c>
      <c r="B95" s="694">
        <f t="shared" si="28"/>
        <v>935.84923533470715</v>
      </c>
      <c r="C95" s="695">
        <f t="shared" si="27"/>
        <v>233.96333333333334</v>
      </c>
      <c r="D95" s="564">
        <f t="shared" si="16"/>
        <v>1.0416666666666666E-2</v>
      </c>
      <c r="E95" s="490">
        <f t="shared" si="25"/>
        <v>9.7484295347365322</v>
      </c>
      <c r="F95" s="490">
        <f t="shared" si="26"/>
        <v>701.88590200137378</v>
      </c>
      <c r="G95" s="703">
        <f>SUM(C85:C95)</f>
        <v>2105.67</v>
      </c>
    </row>
    <row r="96" spans="1:7" ht="15.6" customHeight="1" x14ac:dyDescent="0.25">
      <c r="A96" s="847" t="s">
        <v>1246</v>
      </c>
      <c r="B96" s="694">
        <f t="shared" si="28"/>
        <v>701.88590200137378</v>
      </c>
      <c r="C96" s="695">
        <f>C129-G95</f>
        <v>701.88999999999987</v>
      </c>
      <c r="D96" s="564">
        <f t="shared" si="16"/>
        <v>1.0416666666666666E-2</v>
      </c>
      <c r="E96" s="490">
        <f t="shared" si="25"/>
        <v>7.3113114791809766</v>
      </c>
      <c r="F96" s="490">
        <f t="shared" si="26"/>
        <v>-4.097998626093613E-3</v>
      </c>
    </row>
    <row r="97" spans="1:7" ht="15.6" customHeight="1" x14ac:dyDescent="0.25">
      <c r="A97" s="566" t="s">
        <v>1222</v>
      </c>
      <c r="B97" s="489">
        <f>'2 ИП ТС'!U58+Кредит!F97</f>
        <v>2837.2659020013739</v>
      </c>
      <c r="C97" s="565"/>
      <c r="D97" s="892">
        <f>8.5%+4%</f>
        <v>0.125</v>
      </c>
      <c r="E97" s="488"/>
      <c r="F97" s="489">
        <f>F96</f>
        <v>-4.097998626093613E-3</v>
      </c>
    </row>
    <row r="98" spans="1:7" ht="15.6" customHeight="1" x14ac:dyDescent="0.25">
      <c r="A98" s="847" t="s">
        <v>1235</v>
      </c>
      <c r="B98" s="694"/>
      <c r="C98" s="695"/>
      <c r="D98" s="564">
        <f t="shared" si="16"/>
        <v>1.0416666666666666E-2</v>
      </c>
      <c r="E98" s="490">
        <f t="shared" ref="E98:E109" si="29">B98*D98</f>
        <v>0</v>
      </c>
      <c r="F98" s="490">
        <f t="shared" ref="F98:F109" si="30">B98-C98</f>
        <v>0</v>
      </c>
    </row>
    <row r="99" spans="1:7" ht="15.6" customHeight="1" x14ac:dyDescent="0.25">
      <c r="A99" s="848" t="s">
        <v>1236</v>
      </c>
      <c r="B99" s="694"/>
      <c r="C99" s="695"/>
      <c r="D99" s="564">
        <f t="shared" si="16"/>
        <v>1.0416666666666666E-2</v>
      </c>
      <c r="E99" s="490">
        <f t="shared" si="29"/>
        <v>0</v>
      </c>
      <c r="F99" s="490">
        <f t="shared" si="30"/>
        <v>0</v>
      </c>
    </row>
    <row r="100" spans="1:7" ht="15.6" customHeight="1" x14ac:dyDescent="0.25">
      <c r="A100" s="848" t="s">
        <v>1237</v>
      </c>
      <c r="B100" s="694">
        <f>B97</f>
        <v>2837.2659020013739</v>
      </c>
      <c r="C100" s="695">
        <f>C$130/12</f>
        <v>236.43916666666667</v>
      </c>
      <c r="D100" s="564">
        <f t="shared" si="16"/>
        <v>1.0416666666666666E-2</v>
      </c>
      <c r="E100" s="490">
        <f t="shared" si="29"/>
        <v>29.554853145847645</v>
      </c>
      <c r="F100" s="490">
        <f>B100-C100</f>
        <v>2600.8267353347073</v>
      </c>
    </row>
    <row r="101" spans="1:7" ht="15.6" customHeight="1" x14ac:dyDescent="0.25">
      <c r="A101" s="848" t="s">
        <v>1238</v>
      </c>
      <c r="B101" s="694">
        <f>F100</f>
        <v>2600.8267353347073</v>
      </c>
      <c r="C101" s="695">
        <f t="shared" ref="C101:C108" si="31">C$130/12</f>
        <v>236.43916666666667</v>
      </c>
      <c r="D101" s="564">
        <f t="shared" si="16"/>
        <v>1.0416666666666666E-2</v>
      </c>
      <c r="E101" s="490">
        <f t="shared" si="29"/>
        <v>27.091945159736532</v>
      </c>
      <c r="F101" s="490">
        <f t="shared" si="30"/>
        <v>2364.3875686680408</v>
      </c>
    </row>
    <row r="102" spans="1:7" ht="15.6" customHeight="1" x14ac:dyDescent="0.25">
      <c r="A102" s="848" t="s">
        <v>1239</v>
      </c>
      <c r="B102" s="694">
        <f t="shared" ref="B102:B109" si="32">F101</f>
        <v>2364.3875686680408</v>
      </c>
      <c r="C102" s="695">
        <f t="shared" si="31"/>
        <v>236.43916666666667</v>
      </c>
      <c r="D102" s="564">
        <f t="shared" si="16"/>
        <v>1.0416666666666666E-2</v>
      </c>
      <c r="E102" s="490">
        <f t="shared" si="29"/>
        <v>24.629037173625424</v>
      </c>
      <c r="F102" s="490">
        <f t="shared" si="30"/>
        <v>2127.9484020013742</v>
      </c>
    </row>
    <row r="103" spans="1:7" ht="15.6" customHeight="1" x14ac:dyDescent="0.25">
      <c r="A103" s="848" t="s">
        <v>1240</v>
      </c>
      <c r="B103" s="694">
        <f t="shared" si="32"/>
        <v>2127.9484020013742</v>
      </c>
      <c r="C103" s="695">
        <f t="shared" si="31"/>
        <v>236.43916666666667</v>
      </c>
      <c r="D103" s="564">
        <f t="shared" si="16"/>
        <v>1.0416666666666666E-2</v>
      </c>
      <c r="E103" s="490">
        <f t="shared" si="29"/>
        <v>22.166129187514315</v>
      </c>
      <c r="F103" s="490">
        <f t="shared" si="30"/>
        <v>1891.5092353347077</v>
      </c>
    </row>
    <row r="104" spans="1:7" ht="15.6" customHeight="1" x14ac:dyDescent="0.25">
      <c r="A104" s="848" t="s">
        <v>1241</v>
      </c>
      <c r="B104" s="694">
        <f t="shared" si="32"/>
        <v>1891.5092353347077</v>
      </c>
      <c r="C104" s="695">
        <f t="shared" si="31"/>
        <v>236.43916666666667</v>
      </c>
      <c r="D104" s="564">
        <f t="shared" si="16"/>
        <v>1.0416666666666666E-2</v>
      </c>
      <c r="E104" s="490">
        <f t="shared" si="29"/>
        <v>19.703221201403203</v>
      </c>
      <c r="F104" s="490">
        <f t="shared" si="30"/>
        <v>1655.0700686680411</v>
      </c>
    </row>
    <row r="105" spans="1:7" ht="15.6" customHeight="1" x14ac:dyDescent="0.25">
      <c r="A105" s="848" t="s">
        <v>1242</v>
      </c>
      <c r="B105" s="694">
        <f t="shared" si="32"/>
        <v>1655.0700686680411</v>
      </c>
      <c r="C105" s="695">
        <f t="shared" si="31"/>
        <v>236.43916666666667</v>
      </c>
      <c r="D105" s="564">
        <f t="shared" si="16"/>
        <v>1.0416666666666666E-2</v>
      </c>
      <c r="E105" s="490">
        <f t="shared" si="29"/>
        <v>17.240313215292094</v>
      </c>
      <c r="F105" s="490">
        <f t="shared" si="30"/>
        <v>1418.6309020013746</v>
      </c>
    </row>
    <row r="106" spans="1:7" ht="15.6" customHeight="1" x14ac:dyDescent="0.25">
      <c r="A106" s="848" t="s">
        <v>1243</v>
      </c>
      <c r="B106" s="694">
        <f t="shared" si="32"/>
        <v>1418.6309020013746</v>
      </c>
      <c r="C106" s="695">
        <f t="shared" si="31"/>
        <v>236.43916666666667</v>
      </c>
      <c r="D106" s="564">
        <f t="shared" si="16"/>
        <v>1.0416666666666666E-2</v>
      </c>
      <c r="E106" s="490">
        <f t="shared" si="29"/>
        <v>14.777405229180985</v>
      </c>
      <c r="F106" s="490">
        <f t="shared" si="30"/>
        <v>1182.191735334708</v>
      </c>
    </row>
    <row r="107" spans="1:7" ht="15.6" customHeight="1" x14ac:dyDescent="0.25">
      <c r="A107" s="848" t="s">
        <v>1244</v>
      </c>
      <c r="B107" s="694">
        <f t="shared" si="32"/>
        <v>1182.191735334708</v>
      </c>
      <c r="C107" s="695">
        <f t="shared" si="31"/>
        <v>236.43916666666667</v>
      </c>
      <c r="D107" s="564">
        <f t="shared" si="16"/>
        <v>1.0416666666666666E-2</v>
      </c>
      <c r="E107" s="490">
        <f t="shared" si="29"/>
        <v>12.314497243069875</v>
      </c>
      <c r="F107" s="490">
        <f t="shared" si="30"/>
        <v>945.75256866804136</v>
      </c>
    </row>
    <row r="108" spans="1:7" ht="15.6" customHeight="1" x14ac:dyDescent="0.25">
      <c r="A108" s="848" t="s">
        <v>1245</v>
      </c>
      <c r="B108" s="694">
        <f t="shared" si="32"/>
        <v>945.75256866804136</v>
      </c>
      <c r="C108" s="695">
        <f t="shared" si="31"/>
        <v>236.43916666666667</v>
      </c>
      <c r="D108" s="564">
        <f t="shared" si="16"/>
        <v>1.0416666666666666E-2</v>
      </c>
      <c r="E108" s="490">
        <f t="shared" si="29"/>
        <v>9.8515892569587642</v>
      </c>
      <c r="F108" s="490">
        <f t="shared" si="30"/>
        <v>709.3134020013747</v>
      </c>
      <c r="G108" s="703">
        <f>SUM(C98:C108)</f>
        <v>2127.9524999999994</v>
      </c>
    </row>
    <row r="109" spans="1:7" ht="15.6" customHeight="1" x14ac:dyDescent="0.25">
      <c r="A109" s="847" t="s">
        <v>1246</v>
      </c>
      <c r="B109" s="694">
        <f t="shared" si="32"/>
        <v>709.3134020013747</v>
      </c>
      <c r="C109" s="695">
        <f>C130-G108</f>
        <v>709.31750000000056</v>
      </c>
      <c r="D109" s="564">
        <f t="shared" si="16"/>
        <v>1.0416666666666666E-2</v>
      </c>
      <c r="E109" s="490">
        <f t="shared" si="29"/>
        <v>7.3886812708476528</v>
      </c>
      <c r="F109" s="490">
        <f t="shared" si="30"/>
        <v>-4.0979986258662393E-3</v>
      </c>
    </row>
    <row r="110" spans="1:7" ht="15.6" customHeight="1" x14ac:dyDescent="0.25">
      <c r="A110" s="566" t="s">
        <v>1221</v>
      </c>
      <c r="B110" s="489">
        <f>'2 ИП ТС'!V58+Кредит!F110</f>
        <v>-4.0979986258662393E-3</v>
      </c>
      <c r="C110" s="565"/>
      <c r="D110" s="892">
        <f>8.5%+4%</f>
        <v>0.125</v>
      </c>
      <c r="E110" s="488"/>
      <c r="F110" s="489">
        <f>F109</f>
        <v>-4.0979986258662393E-3</v>
      </c>
    </row>
    <row r="111" spans="1:7" ht="15.6" hidden="1" customHeight="1" x14ac:dyDescent="0.25">
      <c r="A111" s="847" t="s">
        <v>1235</v>
      </c>
      <c r="B111" s="694"/>
      <c r="C111" s="695"/>
      <c r="D111" s="564">
        <f t="shared" si="16"/>
        <v>1.0416666666666666E-2</v>
      </c>
      <c r="E111" s="490">
        <f t="shared" ref="E111:E122" si="33">B111*D111</f>
        <v>0</v>
      </c>
      <c r="F111" s="490">
        <f t="shared" ref="F111:F122" si="34">B111-C111</f>
        <v>0</v>
      </c>
    </row>
    <row r="112" spans="1:7" ht="15.6" hidden="1" customHeight="1" x14ac:dyDescent="0.25">
      <c r="A112" s="848" t="s">
        <v>1236</v>
      </c>
      <c r="B112" s="694"/>
      <c r="C112" s="695"/>
      <c r="D112" s="564">
        <f t="shared" si="16"/>
        <v>1.0416666666666666E-2</v>
      </c>
      <c r="E112" s="490">
        <f t="shared" si="33"/>
        <v>0</v>
      </c>
      <c r="F112" s="490">
        <f t="shared" si="34"/>
        <v>0</v>
      </c>
    </row>
    <row r="113" spans="1:7" ht="15.6" hidden="1" customHeight="1" x14ac:dyDescent="0.25">
      <c r="A113" s="848" t="s">
        <v>1237</v>
      </c>
      <c r="B113" s="694"/>
      <c r="C113" s="695"/>
      <c r="D113" s="564">
        <f t="shared" si="16"/>
        <v>1.0416666666666666E-2</v>
      </c>
      <c r="E113" s="490">
        <f t="shared" si="33"/>
        <v>0</v>
      </c>
      <c r="F113" s="490">
        <f t="shared" si="34"/>
        <v>0</v>
      </c>
    </row>
    <row r="114" spans="1:7" ht="15.6" hidden="1" customHeight="1" x14ac:dyDescent="0.25">
      <c r="A114" s="848" t="s">
        <v>1238</v>
      </c>
      <c r="B114" s="694"/>
      <c r="C114" s="695"/>
      <c r="D114" s="564">
        <f t="shared" si="16"/>
        <v>1.0416666666666666E-2</v>
      </c>
      <c r="E114" s="490">
        <f t="shared" si="33"/>
        <v>0</v>
      </c>
      <c r="F114" s="490">
        <f t="shared" si="34"/>
        <v>0</v>
      </c>
    </row>
    <row r="115" spans="1:7" ht="15.6" hidden="1" customHeight="1" x14ac:dyDescent="0.25">
      <c r="A115" s="848" t="s">
        <v>1239</v>
      </c>
      <c r="B115" s="694"/>
      <c r="C115" s="695"/>
      <c r="D115" s="564">
        <f t="shared" si="16"/>
        <v>1.0416666666666666E-2</v>
      </c>
      <c r="E115" s="490">
        <f t="shared" si="33"/>
        <v>0</v>
      </c>
      <c r="F115" s="490">
        <f t="shared" si="34"/>
        <v>0</v>
      </c>
    </row>
    <row r="116" spans="1:7" ht="15.6" hidden="1" customHeight="1" x14ac:dyDescent="0.25">
      <c r="A116" s="848" t="s">
        <v>1240</v>
      </c>
      <c r="B116" s="694"/>
      <c r="C116" s="695"/>
      <c r="D116" s="564">
        <f t="shared" si="16"/>
        <v>1.0416666666666666E-2</v>
      </c>
      <c r="E116" s="490">
        <f t="shared" si="33"/>
        <v>0</v>
      </c>
      <c r="F116" s="490">
        <f t="shared" si="34"/>
        <v>0</v>
      </c>
    </row>
    <row r="117" spans="1:7" ht="15.6" hidden="1" customHeight="1" x14ac:dyDescent="0.25">
      <c r="A117" s="848" t="s">
        <v>1241</v>
      </c>
      <c r="B117" s="694"/>
      <c r="C117" s="695"/>
      <c r="D117" s="564">
        <f t="shared" si="16"/>
        <v>1.0416666666666666E-2</v>
      </c>
      <c r="E117" s="490">
        <f t="shared" si="33"/>
        <v>0</v>
      </c>
      <c r="F117" s="490">
        <f t="shared" si="34"/>
        <v>0</v>
      </c>
    </row>
    <row r="118" spans="1:7" ht="15.6" hidden="1" customHeight="1" x14ac:dyDescent="0.25">
      <c r="A118" s="848" t="s">
        <v>1242</v>
      </c>
      <c r="B118" s="694"/>
      <c r="C118" s="695"/>
      <c r="D118" s="564">
        <f t="shared" si="16"/>
        <v>1.0416666666666666E-2</v>
      </c>
      <c r="E118" s="490">
        <f t="shared" si="33"/>
        <v>0</v>
      </c>
      <c r="F118" s="490">
        <f t="shared" si="34"/>
        <v>0</v>
      </c>
    </row>
    <row r="119" spans="1:7" ht="15.6" hidden="1" customHeight="1" x14ac:dyDescent="0.25">
      <c r="A119" s="848" t="s">
        <v>1243</v>
      </c>
      <c r="B119" s="694"/>
      <c r="C119" s="695"/>
      <c r="D119" s="564">
        <f t="shared" si="16"/>
        <v>1.0416666666666666E-2</v>
      </c>
      <c r="E119" s="490">
        <f t="shared" si="33"/>
        <v>0</v>
      </c>
      <c r="F119" s="490">
        <f t="shared" si="34"/>
        <v>0</v>
      </c>
    </row>
    <row r="120" spans="1:7" ht="15.6" hidden="1" customHeight="1" x14ac:dyDescent="0.25">
      <c r="A120" s="848" t="s">
        <v>1244</v>
      </c>
      <c r="B120" s="694"/>
      <c r="C120" s="695"/>
      <c r="D120" s="564">
        <f t="shared" si="16"/>
        <v>1.0416666666666666E-2</v>
      </c>
      <c r="E120" s="490">
        <f t="shared" si="33"/>
        <v>0</v>
      </c>
      <c r="F120" s="490">
        <f t="shared" si="34"/>
        <v>0</v>
      </c>
    </row>
    <row r="121" spans="1:7" ht="15.6" hidden="1" customHeight="1" x14ac:dyDescent="0.25">
      <c r="A121" s="848" t="s">
        <v>1245</v>
      </c>
      <c r="B121" s="694"/>
      <c r="C121" s="695"/>
      <c r="D121" s="564">
        <f t="shared" si="16"/>
        <v>1.0416666666666666E-2</v>
      </c>
      <c r="E121" s="490">
        <f t="shared" si="33"/>
        <v>0</v>
      </c>
      <c r="F121" s="490">
        <f t="shared" si="34"/>
        <v>0</v>
      </c>
    </row>
    <row r="122" spans="1:7" ht="15.6" hidden="1" customHeight="1" x14ac:dyDescent="0.25">
      <c r="A122" s="847" t="s">
        <v>1246</v>
      </c>
      <c r="B122" s="694"/>
      <c r="C122" s="695"/>
      <c r="D122" s="564">
        <f t="shared" si="16"/>
        <v>1.0416666666666666E-2</v>
      </c>
      <c r="E122" s="490">
        <f t="shared" si="33"/>
        <v>0</v>
      </c>
      <c r="F122" s="490">
        <f t="shared" si="34"/>
        <v>0</v>
      </c>
    </row>
    <row r="123" spans="1:7" ht="19.149999999999999" customHeight="1" x14ac:dyDescent="0.25">
      <c r="A123" s="1086" t="s">
        <v>1013</v>
      </c>
      <c r="B123" s="1087"/>
      <c r="C123" s="452">
        <f>Финплан!E15*1.18</f>
        <v>2013.164</v>
      </c>
      <c r="D123" s="451"/>
      <c r="E123" s="452">
        <f>SUM(E7:E18)</f>
        <v>131.06494791666663</v>
      </c>
      <c r="F123" s="452"/>
      <c r="G123" s="442"/>
    </row>
    <row r="124" spans="1:7" ht="21" customHeight="1" x14ac:dyDescent="0.25">
      <c r="A124" s="1086" t="s">
        <v>1225</v>
      </c>
      <c r="B124" s="1087"/>
      <c r="C124" s="452">
        <f>Финплан!F15*1.18</f>
        <v>2986.66</v>
      </c>
      <c r="D124" s="451"/>
      <c r="E124" s="452">
        <f>SUM(E20:E31)</f>
        <v>257.46754187514273</v>
      </c>
      <c r="F124" s="452"/>
      <c r="G124" s="442"/>
    </row>
    <row r="125" spans="1:7" ht="19.899999999999999" customHeight="1" x14ac:dyDescent="0.25">
      <c r="A125" s="1086" t="s">
        <v>1226</v>
      </c>
      <c r="B125" s="1087"/>
      <c r="C125" s="452">
        <f>Финплан!G15*1.18</f>
        <v>3140.65</v>
      </c>
      <c r="D125" s="451"/>
      <c r="E125" s="452">
        <f>SUM(E33:E44)</f>
        <v>701.00992044247926</v>
      </c>
      <c r="F125" s="452"/>
      <c r="G125" s="442"/>
    </row>
    <row r="126" spans="1:7" ht="19.899999999999999" customHeight="1" x14ac:dyDescent="0.25">
      <c r="A126" s="1086" t="s">
        <v>1227</v>
      </c>
      <c r="B126" s="1087"/>
      <c r="C126" s="452">
        <f>Финплан!H15*1.18</f>
        <v>3301.69</v>
      </c>
      <c r="D126" s="451"/>
      <c r="E126" s="452">
        <f>SUM(E46:E57)</f>
        <v>299.91213198094101</v>
      </c>
      <c r="F126" s="452"/>
      <c r="G126" s="442"/>
    </row>
    <row r="127" spans="1:7" ht="19.899999999999999" customHeight="1" x14ac:dyDescent="0.25">
      <c r="A127" s="1086" t="s">
        <v>1229</v>
      </c>
      <c r="B127" s="1087"/>
      <c r="C127" s="452">
        <f>Финплан!I15*1.18</f>
        <v>3471</v>
      </c>
      <c r="D127" s="451"/>
      <c r="E127" s="452">
        <f>SUM(E59:E70)</f>
        <v>453.3194877501715</v>
      </c>
      <c r="F127" s="452"/>
      <c r="G127" s="442"/>
    </row>
    <row r="128" spans="1:7" ht="19.899999999999999" customHeight="1" x14ac:dyDescent="0.25">
      <c r="A128" s="1086" t="s">
        <v>1230</v>
      </c>
      <c r="B128" s="1087"/>
      <c r="C128" s="452">
        <f>Финплан!J15*1.18</f>
        <v>1624.06</v>
      </c>
      <c r="D128" s="451"/>
      <c r="E128" s="452">
        <f>SUM(E72:E83)</f>
        <v>117.11919928863324</v>
      </c>
      <c r="F128" s="452"/>
      <c r="G128" s="442"/>
    </row>
    <row r="129" spans="1:9" ht="19.899999999999999" customHeight="1" x14ac:dyDescent="0.25">
      <c r="A129" s="1086" t="s">
        <v>1231</v>
      </c>
      <c r="B129" s="1087"/>
      <c r="C129" s="452">
        <f>Финплан!K15*1.18</f>
        <v>2807.56</v>
      </c>
      <c r="D129" s="451"/>
      <c r="E129" s="452">
        <f>SUM(E85:E96)</f>
        <v>182.78342729180977</v>
      </c>
      <c r="F129" s="452"/>
      <c r="G129" s="442"/>
    </row>
    <row r="130" spans="1:9" ht="19.899999999999999" customHeight="1" x14ac:dyDescent="0.25">
      <c r="A130" s="1086" t="s">
        <v>1232</v>
      </c>
      <c r="B130" s="1087"/>
      <c r="C130" s="452">
        <f>Финплан!L15*1.18</f>
        <v>2837.27</v>
      </c>
      <c r="D130" s="451"/>
      <c r="E130" s="452">
        <f>SUM(E98:E109)</f>
        <v>184.71767208347651</v>
      </c>
      <c r="F130" s="452"/>
      <c r="G130" s="442"/>
    </row>
    <row r="131" spans="1:9" ht="19.899999999999999" customHeight="1" x14ac:dyDescent="0.25">
      <c r="A131" s="1086" t="s">
        <v>1233</v>
      </c>
      <c r="B131" s="1087"/>
      <c r="C131" s="452">
        <f>Финплан!M15*1.18</f>
        <v>0</v>
      </c>
      <c r="D131" s="451"/>
      <c r="E131" s="452">
        <f>SUM(E111:E122)</f>
        <v>0</v>
      </c>
      <c r="F131" s="452"/>
      <c r="G131" s="442"/>
    </row>
    <row r="132" spans="1:9" ht="21.75" customHeight="1" x14ac:dyDescent="0.25">
      <c r="A132" s="1088" t="s">
        <v>1228</v>
      </c>
      <c r="B132" s="1089"/>
      <c r="C132" s="453">
        <f>SUM(C123:C131)</f>
        <v>22182.054000000004</v>
      </c>
      <c r="D132" s="449"/>
      <c r="E132" s="453">
        <f>SUM(E123:E131)</f>
        <v>2327.3943286293206</v>
      </c>
      <c r="F132" s="453"/>
      <c r="G132" s="442">
        <v>2606.6862853769262</v>
      </c>
      <c r="H132" s="442">
        <f>G132-E132</f>
        <v>279.29195674760558</v>
      </c>
      <c r="I132" s="891">
        <f>E132/G132</f>
        <v>0.89285555445839926</v>
      </c>
    </row>
    <row r="133" spans="1:9" s="17" customFormat="1" ht="21.75" customHeight="1" x14ac:dyDescent="0.25">
      <c r="A133" s="454"/>
      <c r="B133" s="454"/>
      <c r="C133" s="455"/>
      <c r="D133" s="455"/>
      <c r="E133" s="456"/>
      <c r="F133" s="456"/>
    </row>
    <row r="134" spans="1:9" x14ac:dyDescent="0.25">
      <c r="A134" s="1" t="s">
        <v>635</v>
      </c>
      <c r="B134" s="441"/>
      <c r="C134" s="578"/>
      <c r="D134" s="580"/>
      <c r="E134" s="579" t="s">
        <v>955</v>
      </c>
    </row>
  </sheetData>
  <mergeCells count="12">
    <mergeCell ref="A2:F3"/>
    <mergeCell ref="A4:D4"/>
    <mergeCell ref="A123:B123"/>
    <mergeCell ref="A124:B124"/>
    <mergeCell ref="A130:B130"/>
    <mergeCell ref="A131:B131"/>
    <mergeCell ref="A132:B132"/>
    <mergeCell ref="A125:B125"/>
    <mergeCell ref="A126:B126"/>
    <mergeCell ref="A127:B127"/>
    <mergeCell ref="A128:B128"/>
    <mergeCell ref="A129:B129"/>
  </mergeCells>
  <phoneticPr fontId="57" type="noConversion"/>
  <printOptions horizontalCentered="1"/>
  <pageMargins left="0.82677165354330717" right="0.19685039370078741" top="0.43307086614173229" bottom="0.55118110236220474" header="0.31496062992125984" footer="0.19685039370078741"/>
  <pageSetup paperSize="9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88"/>
  <sheetViews>
    <sheetView workbookViewId="0">
      <selection activeCell="H13" sqref="H13:K13"/>
    </sheetView>
  </sheetViews>
  <sheetFormatPr defaultRowHeight="15.75" x14ac:dyDescent="0.25"/>
  <cols>
    <col min="1" max="1" width="7" customWidth="1"/>
    <col min="2" max="2" width="53.75" customWidth="1"/>
    <col min="3" max="6" width="12.375" customWidth="1"/>
    <col min="7" max="7" width="10.5" customWidth="1"/>
    <col min="8" max="8" width="9.125" customWidth="1"/>
  </cols>
  <sheetData>
    <row r="1" spans="1:9" x14ac:dyDescent="0.25">
      <c r="F1" s="437" t="s">
        <v>318</v>
      </c>
    </row>
    <row r="2" spans="1:9" x14ac:dyDescent="0.25">
      <c r="F2" s="437" t="s">
        <v>91</v>
      </c>
    </row>
    <row r="3" spans="1:9" x14ac:dyDescent="0.25">
      <c r="F3" s="437" t="s">
        <v>106</v>
      </c>
    </row>
    <row r="4" spans="1:9" x14ac:dyDescent="0.25">
      <c r="F4" s="4"/>
    </row>
    <row r="5" spans="1:9" ht="36.75" customHeight="1" x14ac:dyDescent="0.25">
      <c r="A5" s="1079" t="s">
        <v>103</v>
      </c>
      <c r="B5" s="1079"/>
      <c r="C5" s="1079"/>
      <c r="D5" s="1079"/>
      <c r="E5" s="1079"/>
      <c r="F5" s="1079"/>
      <c r="H5" s="4"/>
    </row>
    <row r="6" spans="1:9" ht="36.75" customHeight="1" x14ac:dyDescent="0.25">
      <c r="A6" s="292"/>
      <c r="B6" s="292"/>
      <c r="C6" s="292"/>
      <c r="D6" s="292"/>
      <c r="E6" s="292"/>
      <c r="F6" s="292"/>
      <c r="H6" s="4"/>
    </row>
    <row r="7" spans="1:9" x14ac:dyDescent="0.25">
      <c r="F7" s="437" t="s">
        <v>92</v>
      </c>
    </row>
    <row r="8" spans="1:9" x14ac:dyDescent="0.25">
      <c r="F8" s="437" t="s">
        <v>414</v>
      </c>
    </row>
    <row r="9" spans="1:9" x14ac:dyDescent="0.25">
      <c r="F9" s="4"/>
    </row>
    <row r="10" spans="1:9" x14ac:dyDescent="0.25">
      <c r="F10" s="437" t="s">
        <v>622</v>
      </c>
    </row>
    <row r="11" spans="1:9" x14ac:dyDescent="0.25">
      <c r="F11" s="437" t="s">
        <v>623</v>
      </c>
    </row>
    <row r="12" spans="1:9" x14ac:dyDescent="0.25">
      <c r="F12" s="462" t="s">
        <v>96</v>
      </c>
    </row>
    <row r="13" spans="1:9" x14ac:dyDescent="0.25">
      <c r="F13" s="4"/>
    </row>
    <row r="14" spans="1:9" ht="16.5" thickBot="1" x14ac:dyDescent="0.3">
      <c r="F14" s="4" t="s">
        <v>506</v>
      </c>
    </row>
    <row r="15" spans="1:9" x14ac:dyDescent="0.25">
      <c r="A15" s="1092" t="s">
        <v>416</v>
      </c>
      <c r="B15" s="1094" t="s">
        <v>478</v>
      </c>
      <c r="C15" s="1092" t="s">
        <v>104</v>
      </c>
      <c r="D15" s="1096"/>
      <c r="E15" s="1097" t="s">
        <v>105</v>
      </c>
      <c r="F15" s="1096"/>
      <c r="I15" s="39"/>
    </row>
    <row r="16" spans="1:9" ht="16.5" thickBot="1" x14ac:dyDescent="0.3">
      <c r="A16" s="1093"/>
      <c r="B16" s="1095"/>
      <c r="C16" s="46" t="s">
        <v>439</v>
      </c>
      <c r="D16" s="48" t="s">
        <v>440</v>
      </c>
      <c r="E16" s="167" t="s">
        <v>439</v>
      </c>
      <c r="F16" s="48" t="s">
        <v>440</v>
      </c>
      <c r="I16" s="39"/>
    </row>
    <row r="17" spans="1:9" ht="16.5" thickBot="1" x14ac:dyDescent="0.3">
      <c r="A17" s="119">
        <v>1</v>
      </c>
      <c r="B17" s="121">
        <v>2</v>
      </c>
      <c r="C17" s="122">
        <v>3</v>
      </c>
      <c r="D17" s="120">
        <v>4</v>
      </c>
      <c r="E17" s="168">
        <v>5</v>
      </c>
      <c r="F17" s="120">
        <v>6</v>
      </c>
      <c r="I17" s="39"/>
    </row>
    <row r="18" spans="1:9" ht="15.75" customHeight="1" x14ac:dyDescent="0.25">
      <c r="A18" s="126" t="s">
        <v>459</v>
      </c>
      <c r="B18" s="103" t="s">
        <v>479</v>
      </c>
      <c r="C18" s="51"/>
      <c r="D18" s="52"/>
      <c r="E18" s="169"/>
      <c r="F18" s="164"/>
      <c r="I18" s="39"/>
    </row>
    <row r="19" spans="1:9" x14ac:dyDescent="0.25">
      <c r="A19" s="57"/>
      <c r="B19" s="58" t="s">
        <v>488</v>
      </c>
      <c r="C19" s="55"/>
      <c r="D19" s="56"/>
      <c r="E19" s="170"/>
      <c r="F19" s="47"/>
      <c r="I19" s="39"/>
    </row>
    <row r="20" spans="1:9" ht="31.5" x14ac:dyDescent="0.25">
      <c r="A20" s="57" t="s">
        <v>418</v>
      </c>
      <c r="B20" s="58" t="s">
        <v>130</v>
      </c>
      <c r="C20" s="55"/>
      <c r="D20" s="56"/>
      <c r="E20" s="170"/>
      <c r="F20" s="80"/>
      <c r="I20" s="39"/>
    </row>
    <row r="21" spans="1:9" ht="16.5" thickBot="1" x14ac:dyDescent="0.3">
      <c r="A21" s="61" t="s">
        <v>419</v>
      </c>
      <c r="B21" s="62" t="s">
        <v>69</v>
      </c>
      <c r="C21" s="67"/>
      <c r="D21" s="68"/>
      <c r="E21" s="171"/>
      <c r="F21" s="160"/>
      <c r="I21" s="39"/>
    </row>
    <row r="22" spans="1:9" x14ac:dyDescent="0.25">
      <c r="A22" s="126" t="s">
        <v>452</v>
      </c>
      <c r="B22" s="103" t="s">
        <v>45</v>
      </c>
      <c r="C22" s="51"/>
      <c r="D22" s="52"/>
      <c r="E22" s="169"/>
      <c r="F22" s="117"/>
      <c r="I22" s="39"/>
    </row>
    <row r="23" spans="1:9" x14ac:dyDescent="0.25">
      <c r="A23" s="53" t="s">
        <v>417</v>
      </c>
      <c r="B23" s="54" t="s">
        <v>480</v>
      </c>
      <c r="C23" s="55"/>
      <c r="D23" s="56"/>
      <c r="E23" s="170"/>
      <c r="F23" s="80"/>
      <c r="I23" s="39"/>
    </row>
    <row r="24" spans="1:9" x14ac:dyDescent="0.25">
      <c r="A24" s="57"/>
      <c r="B24" s="58" t="s">
        <v>488</v>
      </c>
      <c r="C24" s="59"/>
      <c r="D24" s="60"/>
      <c r="E24" s="172"/>
      <c r="F24" s="47"/>
      <c r="I24" s="39"/>
    </row>
    <row r="25" spans="1:9" x14ac:dyDescent="0.25">
      <c r="A25" s="57" t="s">
        <v>418</v>
      </c>
      <c r="B25" s="58" t="s">
        <v>66</v>
      </c>
      <c r="C25" s="59"/>
      <c r="D25" s="60"/>
      <c r="E25" s="172"/>
      <c r="F25" s="80"/>
      <c r="I25" s="39"/>
    </row>
    <row r="26" spans="1:9" x14ac:dyDescent="0.25">
      <c r="A26" s="57" t="s">
        <v>419</v>
      </c>
      <c r="B26" s="58" t="s">
        <v>67</v>
      </c>
      <c r="C26" s="59"/>
      <c r="D26" s="60"/>
      <c r="E26" s="172"/>
      <c r="F26" s="80"/>
      <c r="I26" s="39"/>
    </row>
    <row r="27" spans="1:9" x14ac:dyDescent="0.25">
      <c r="A27" s="57" t="s">
        <v>430</v>
      </c>
      <c r="B27" s="58" t="s">
        <v>68</v>
      </c>
      <c r="C27" s="59"/>
      <c r="D27" s="60"/>
      <c r="E27" s="172"/>
      <c r="F27" s="80"/>
      <c r="I27" s="39"/>
    </row>
    <row r="28" spans="1:9" x14ac:dyDescent="0.25">
      <c r="A28" s="53" t="s">
        <v>420</v>
      </c>
      <c r="B28" s="54" t="s">
        <v>481</v>
      </c>
      <c r="C28" s="55"/>
      <c r="D28" s="56"/>
      <c r="E28" s="170"/>
      <c r="F28" s="80"/>
      <c r="I28" s="39"/>
    </row>
    <row r="29" spans="1:9" x14ac:dyDescent="0.25">
      <c r="A29" s="53" t="s">
        <v>482</v>
      </c>
      <c r="B29" s="54" t="s">
        <v>483</v>
      </c>
      <c r="C29" s="55"/>
      <c r="D29" s="56"/>
      <c r="E29" s="170"/>
      <c r="F29" s="47"/>
      <c r="I29" s="39"/>
    </row>
    <row r="30" spans="1:9" x14ac:dyDescent="0.25">
      <c r="A30" s="53" t="s">
        <v>484</v>
      </c>
      <c r="B30" s="54" t="s">
        <v>493</v>
      </c>
      <c r="C30" s="55"/>
      <c r="D30" s="56"/>
      <c r="E30" s="170"/>
      <c r="F30" s="47"/>
      <c r="I30" s="39"/>
    </row>
    <row r="31" spans="1:9" x14ac:dyDescent="0.25">
      <c r="A31" s="53" t="s">
        <v>492</v>
      </c>
      <c r="B31" s="54" t="s">
        <v>485</v>
      </c>
      <c r="C31" s="55"/>
      <c r="D31" s="56"/>
      <c r="E31" s="170"/>
      <c r="F31" s="80"/>
      <c r="I31" s="39"/>
    </row>
    <row r="32" spans="1:9" x14ac:dyDescent="0.25">
      <c r="A32" s="57"/>
      <c r="B32" s="58" t="s">
        <v>488</v>
      </c>
      <c r="C32" s="59"/>
      <c r="D32" s="60"/>
      <c r="E32" s="172"/>
      <c r="F32" s="80"/>
      <c r="I32" s="39"/>
    </row>
    <row r="33" spans="1:9" x14ac:dyDescent="0.25">
      <c r="A33" s="57" t="s">
        <v>428</v>
      </c>
      <c r="B33" s="58" t="s">
        <v>487</v>
      </c>
      <c r="C33" s="59"/>
      <c r="D33" s="60"/>
      <c r="E33" s="172"/>
      <c r="F33" s="80"/>
      <c r="I33" s="39"/>
    </row>
    <row r="34" spans="1:9" x14ac:dyDescent="0.25">
      <c r="A34" s="57" t="s">
        <v>494</v>
      </c>
      <c r="B34" s="58" t="s">
        <v>46</v>
      </c>
      <c r="C34" s="59"/>
      <c r="D34" s="60"/>
      <c r="E34" s="172"/>
      <c r="F34" s="80"/>
      <c r="I34" s="39"/>
    </row>
    <row r="35" spans="1:9" ht="16.5" thickBot="1" x14ac:dyDescent="0.3">
      <c r="A35" s="61" t="s">
        <v>3</v>
      </c>
      <c r="B35" s="62" t="s">
        <v>47</v>
      </c>
      <c r="C35" s="63"/>
      <c r="D35" s="64"/>
      <c r="E35" s="173"/>
      <c r="F35" s="160"/>
      <c r="I35" s="39"/>
    </row>
    <row r="36" spans="1:9" ht="16.5" thickBot="1" x14ac:dyDescent="0.3">
      <c r="A36" s="125" t="s">
        <v>453</v>
      </c>
      <c r="B36" s="65" t="s">
        <v>48</v>
      </c>
      <c r="C36" s="49"/>
      <c r="D36" s="50"/>
      <c r="E36" s="174"/>
      <c r="F36" s="159"/>
      <c r="I36" s="39"/>
    </row>
    <row r="37" spans="1:9" x14ac:dyDescent="0.25">
      <c r="A37" s="126" t="s">
        <v>495</v>
      </c>
      <c r="B37" s="103" t="s">
        <v>496</v>
      </c>
      <c r="C37" s="51"/>
      <c r="D37" s="52"/>
      <c r="E37" s="169"/>
      <c r="F37" s="117"/>
      <c r="I37" s="39"/>
    </row>
    <row r="38" spans="1:9" x14ac:dyDescent="0.25">
      <c r="A38" s="57" t="s">
        <v>417</v>
      </c>
      <c r="B38" s="58" t="s">
        <v>497</v>
      </c>
      <c r="C38" s="59"/>
      <c r="D38" s="60"/>
      <c r="E38" s="172"/>
      <c r="F38" s="80"/>
      <c r="I38" s="39"/>
    </row>
    <row r="39" spans="1:9" x14ac:dyDescent="0.25">
      <c r="A39" s="57"/>
      <c r="B39" s="58" t="s">
        <v>486</v>
      </c>
      <c r="C39" s="59"/>
      <c r="D39" s="60"/>
      <c r="E39" s="172"/>
      <c r="F39" s="80"/>
      <c r="I39" s="39"/>
    </row>
    <row r="40" spans="1:9" ht="31.5" x14ac:dyDescent="0.25">
      <c r="A40" s="57" t="s">
        <v>418</v>
      </c>
      <c r="B40" s="58" t="s">
        <v>52</v>
      </c>
      <c r="C40" s="59"/>
      <c r="D40" s="60"/>
      <c r="E40" s="172"/>
      <c r="F40" s="80"/>
      <c r="I40" s="39"/>
    </row>
    <row r="41" spans="1:9" x14ac:dyDescent="0.25">
      <c r="A41" s="57" t="s">
        <v>419</v>
      </c>
      <c r="B41" s="66" t="s">
        <v>53</v>
      </c>
      <c r="C41" s="59"/>
      <c r="D41" s="60"/>
      <c r="E41" s="172"/>
      <c r="F41" s="80"/>
      <c r="I41" s="39"/>
    </row>
    <row r="42" spans="1:9" x14ac:dyDescent="0.25">
      <c r="A42" s="57" t="s">
        <v>420</v>
      </c>
      <c r="B42" s="58" t="s">
        <v>498</v>
      </c>
      <c r="C42" s="59"/>
      <c r="D42" s="60"/>
      <c r="E42" s="172"/>
      <c r="F42" s="80"/>
      <c r="I42" s="39"/>
    </row>
    <row r="43" spans="1:9" x14ac:dyDescent="0.25">
      <c r="A43" s="57"/>
      <c r="B43" s="58" t="s">
        <v>486</v>
      </c>
      <c r="C43" s="59"/>
      <c r="D43" s="60"/>
      <c r="E43" s="172"/>
      <c r="F43" s="80"/>
      <c r="I43" s="39"/>
    </row>
    <row r="44" spans="1:9" ht="16.5" thickBot="1" x14ac:dyDescent="0.3">
      <c r="A44" s="61" t="s">
        <v>421</v>
      </c>
      <c r="B44" s="62" t="s">
        <v>54</v>
      </c>
      <c r="C44" s="63"/>
      <c r="D44" s="64"/>
      <c r="E44" s="173"/>
      <c r="F44" s="160"/>
      <c r="I44" s="39"/>
    </row>
    <row r="45" spans="1:9" ht="16.5" thickBot="1" x14ac:dyDescent="0.3">
      <c r="A45" s="148" t="s">
        <v>499</v>
      </c>
      <c r="B45" s="166" t="s">
        <v>500</v>
      </c>
      <c r="C45" s="181"/>
      <c r="D45" s="149"/>
      <c r="E45" s="175"/>
      <c r="F45" s="163"/>
      <c r="I45" s="39"/>
    </row>
    <row r="46" spans="1:9" ht="16.5" thickBot="1" x14ac:dyDescent="0.3">
      <c r="A46" s="125" t="s">
        <v>501</v>
      </c>
      <c r="B46" s="65" t="s">
        <v>502</v>
      </c>
      <c r="C46" s="49"/>
      <c r="D46" s="50"/>
      <c r="E46" s="174"/>
      <c r="F46" s="159"/>
      <c r="I46" s="39"/>
    </row>
    <row r="47" spans="1:9" ht="16.5" thickBot="1" x14ac:dyDescent="0.3">
      <c r="A47" s="125" t="s">
        <v>503</v>
      </c>
      <c r="B47" s="65" t="s">
        <v>504</v>
      </c>
      <c r="C47" s="49"/>
      <c r="D47" s="50"/>
      <c r="E47" s="174"/>
      <c r="F47" s="162"/>
      <c r="I47" s="39"/>
    </row>
    <row r="48" spans="1:9" x14ac:dyDescent="0.25">
      <c r="A48" s="126" t="s">
        <v>505</v>
      </c>
      <c r="B48" s="103" t="s">
        <v>64</v>
      </c>
      <c r="C48" s="51"/>
      <c r="D48" s="52"/>
      <c r="E48" s="169"/>
      <c r="F48" s="117"/>
      <c r="I48" s="39"/>
    </row>
    <row r="49" spans="1:9" x14ac:dyDescent="0.25">
      <c r="A49" s="57"/>
      <c r="B49" s="58" t="s">
        <v>488</v>
      </c>
      <c r="C49" s="59"/>
      <c r="D49" s="60"/>
      <c r="E49" s="172"/>
      <c r="F49" s="80"/>
      <c r="I49" s="39"/>
    </row>
    <row r="50" spans="1:9" x14ac:dyDescent="0.25">
      <c r="A50" s="57" t="s">
        <v>417</v>
      </c>
      <c r="B50" s="58" t="s">
        <v>55</v>
      </c>
      <c r="C50" s="59"/>
      <c r="D50" s="60"/>
      <c r="E50" s="172"/>
      <c r="F50" s="80"/>
      <c r="I50" s="39"/>
    </row>
    <row r="51" spans="1:9" x14ac:dyDescent="0.25">
      <c r="A51" s="150" t="s">
        <v>420</v>
      </c>
      <c r="B51" s="58" t="s">
        <v>56</v>
      </c>
      <c r="C51" s="59"/>
      <c r="D51" s="60"/>
      <c r="E51" s="172"/>
      <c r="F51" s="80"/>
      <c r="I51" s="39"/>
    </row>
    <row r="52" spans="1:9" x14ac:dyDescent="0.25">
      <c r="A52" s="57" t="s">
        <v>482</v>
      </c>
      <c r="B52" s="58" t="s">
        <v>57</v>
      </c>
      <c r="C52" s="59"/>
      <c r="D52" s="60"/>
      <c r="E52" s="172"/>
      <c r="F52" s="47"/>
      <c r="I52" s="39"/>
    </row>
    <row r="53" spans="1:9" ht="16.5" thickBot="1" x14ac:dyDescent="0.3">
      <c r="A53" s="61" t="s">
        <v>484</v>
      </c>
      <c r="B53" s="62" t="s">
        <v>58</v>
      </c>
      <c r="C53" s="67"/>
      <c r="D53" s="68"/>
      <c r="E53" s="171"/>
      <c r="F53" s="118"/>
      <c r="I53" s="39"/>
    </row>
    <row r="54" spans="1:9" x14ac:dyDescent="0.25">
      <c r="A54" s="126" t="s">
        <v>544</v>
      </c>
      <c r="B54" s="103" t="s">
        <v>62</v>
      </c>
      <c r="C54" s="51"/>
      <c r="D54" s="52"/>
      <c r="E54" s="169"/>
      <c r="F54" s="117"/>
      <c r="I54" s="39"/>
    </row>
    <row r="55" spans="1:9" x14ac:dyDescent="0.25">
      <c r="A55" s="57" t="s">
        <v>417</v>
      </c>
      <c r="B55" s="463" t="s">
        <v>40</v>
      </c>
      <c r="C55" s="59"/>
      <c r="D55" s="60"/>
      <c r="E55" s="172"/>
      <c r="F55" s="80"/>
      <c r="I55" s="39"/>
    </row>
    <row r="56" spans="1:9" x14ac:dyDescent="0.25">
      <c r="A56" s="57" t="s">
        <v>420</v>
      </c>
      <c r="B56" s="58" t="s">
        <v>41</v>
      </c>
      <c r="C56" s="59"/>
      <c r="D56" s="60"/>
      <c r="E56" s="172"/>
      <c r="F56" s="80"/>
      <c r="I56" s="39"/>
    </row>
    <row r="57" spans="1:9" ht="16.5" thickBot="1" x14ac:dyDescent="0.3">
      <c r="A57" s="61"/>
      <c r="B57" s="62" t="s">
        <v>42</v>
      </c>
      <c r="C57" s="63"/>
      <c r="D57" s="64"/>
      <c r="E57" s="173"/>
      <c r="F57" s="160"/>
      <c r="I57" s="39"/>
    </row>
    <row r="58" spans="1:9" x14ac:dyDescent="0.25">
      <c r="A58" s="126" t="s">
        <v>507</v>
      </c>
      <c r="B58" s="103" t="s">
        <v>63</v>
      </c>
      <c r="C58" s="51"/>
      <c r="D58" s="52"/>
      <c r="E58" s="169"/>
      <c r="F58" s="161"/>
      <c r="I58" s="39"/>
    </row>
    <row r="59" spans="1:9" x14ac:dyDescent="0.25">
      <c r="A59" s="57" t="s">
        <v>417</v>
      </c>
      <c r="B59" s="463" t="s">
        <v>43</v>
      </c>
      <c r="C59" s="59"/>
      <c r="D59" s="60"/>
      <c r="E59" s="172"/>
      <c r="F59" s="80"/>
      <c r="I59" s="39"/>
    </row>
    <row r="60" spans="1:9" x14ac:dyDescent="0.25">
      <c r="A60" s="57" t="s">
        <v>420</v>
      </c>
      <c r="B60" s="58" t="s">
        <v>44</v>
      </c>
      <c r="C60" s="59"/>
      <c r="D60" s="60"/>
      <c r="E60" s="172"/>
      <c r="F60" s="80"/>
      <c r="I60" s="39"/>
    </row>
    <row r="61" spans="1:9" ht="16.5" thickBot="1" x14ac:dyDescent="0.3">
      <c r="A61" s="61"/>
      <c r="B61" s="62" t="s">
        <v>42</v>
      </c>
      <c r="C61" s="63"/>
      <c r="D61" s="64"/>
      <c r="E61" s="173"/>
      <c r="F61" s="160"/>
      <c r="I61" s="39"/>
    </row>
    <row r="62" spans="1:9" x14ac:dyDescent="0.25">
      <c r="A62" s="126" t="s">
        <v>510</v>
      </c>
      <c r="B62" s="103" t="s">
        <v>508</v>
      </c>
      <c r="C62" s="51"/>
      <c r="D62" s="52"/>
      <c r="E62" s="169"/>
      <c r="F62" s="117"/>
      <c r="I62" s="39"/>
    </row>
    <row r="63" spans="1:9" x14ac:dyDescent="0.25">
      <c r="A63" s="53"/>
      <c r="B63" s="58" t="s">
        <v>509</v>
      </c>
      <c r="C63" s="59"/>
      <c r="D63" s="60"/>
      <c r="E63" s="172"/>
      <c r="F63" s="80"/>
      <c r="I63" s="39"/>
    </row>
    <row r="64" spans="1:9" x14ac:dyDescent="0.25">
      <c r="A64" s="57" t="s">
        <v>417</v>
      </c>
      <c r="B64" s="58" t="s">
        <v>59</v>
      </c>
      <c r="C64" s="59"/>
      <c r="D64" s="60"/>
      <c r="E64" s="172"/>
      <c r="F64" s="80"/>
      <c r="I64" s="39"/>
    </row>
    <row r="65" spans="1:9" x14ac:dyDescent="0.25">
      <c r="A65" s="57" t="s">
        <v>418</v>
      </c>
      <c r="B65" s="58" t="s">
        <v>517</v>
      </c>
      <c r="C65" s="55"/>
      <c r="D65" s="56"/>
      <c r="E65" s="170"/>
      <c r="F65" s="80"/>
      <c r="I65" s="39"/>
    </row>
    <row r="66" spans="1:9" ht="16.5" thickBot="1" x14ac:dyDescent="0.3">
      <c r="A66" s="61" t="s">
        <v>420</v>
      </c>
      <c r="B66" s="62" t="s">
        <v>60</v>
      </c>
      <c r="C66" s="67"/>
      <c r="D66" s="68"/>
      <c r="E66" s="171"/>
      <c r="F66" s="160"/>
      <c r="I66" s="39"/>
    </row>
    <row r="67" spans="1:9" x14ac:dyDescent="0.25">
      <c r="A67" s="126" t="s">
        <v>512</v>
      </c>
      <c r="B67" s="103" t="s">
        <v>511</v>
      </c>
      <c r="C67" s="69"/>
      <c r="D67" s="70"/>
      <c r="E67" s="176"/>
      <c r="F67" s="164"/>
      <c r="I67" s="39"/>
    </row>
    <row r="68" spans="1:9" x14ac:dyDescent="0.25">
      <c r="A68" s="53"/>
      <c r="B68" s="58" t="s">
        <v>547</v>
      </c>
      <c r="C68" s="59"/>
      <c r="D68" s="60"/>
      <c r="E68" s="172"/>
      <c r="F68" s="80"/>
      <c r="I68" s="39"/>
    </row>
    <row r="69" spans="1:9" x14ac:dyDescent="0.25">
      <c r="A69" s="57" t="s">
        <v>417</v>
      </c>
      <c r="B69" s="58" t="s">
        <v>61</v>
      </c>
      <c r="C69" s="55"/>
      <c r="D69" s="56"/>
      <c r="E69" s="170"/>
      <c r="F69" s="47"/>
      <c r="I69" s="39"/>
    </row>
    <row r="70" spans="1:9" x14ac:dyDescent="0.25">
      <c r="A70" s="57" t="s">
        <v>418</v>
      </c>
      <c r="B70" s="58" t="s">
        <v>517</v>
      </c>
      <c r="C70" s="55"/>
      <c r="D70" s="56"/>
      <c r="E70" s="170"/>
      <c r="F70" s="165"/>
      <c r="I70" s="39"/>
    </row>
    <row r="71" spans="1:9" ht="16.5" thickBot="1" x14ac:dyDescent="0.3">
      <c r="A71" s="61" t="s">
        <v>420</v>
      </c>
      <c r="B71" s="62" t="s">
        <v>60</v>
      </c>
      <c r="C71" s="67"/>
      <c r="D71" s="68"/>
      <c r="E71" s="171"/>
      <c r="F71" s="118"/>
      <c r="I71" s="39"/>
    </row>
    <row r="72" spans="1:9" ht="16.5" thickBot="1" x14ac:dyDescent="0.3">
      <c r="A72" s="125" t="s">
        <v>513</v>
      </c>
      <c r="B72" s="65" t="s">
        <v>546</v>
      </c>
      <c r="C72" s="49"/>
      <c r="D72" s="50"/>
      <c r="E72" s="174"/>
      <c r="F72" s="159"/>
      <c r="I72" s="39"/>
    </row>
    <row r="73" spans="1:9" x14ac:dyDescent="0.25">
      <c r="A73" s="127" t="s">
        <v>514</v>
      </c>
      <c r="B73" s="128" t="s">
        <v>70</v>
      </c>
      <c r="C73" s="112"/>
      <c r="D73" s="111"/>
      <c r="E73" s="177"/>
      <c r="F73" s="158"/>
      <c r="I73" s="39"/>
    </row>
    <row r="74" spans="1:9" x14ac:dyDescent="0.25">
      <c r="A74" s="57" t="s">
        <v>417</v>
      </c>
      <c r="B74" s="58" t="s">
        <v>71</v>
      </c>
      <c r="C74" s="59"/>
      <c r="D74" s="60"/>
      <c r="E74" s="172"/>
      <c r="F74" s="80"/>
      <c r="I74" s="39"/>
    </row>
    <row r="75" spans="1:9" ht="16.5" thickBot="1" x14ac:dyDescent="0.3">
      <c r="A75" s="61" t="s">
        <v>420</v>
      </c>
      <c r="B75" s="62" t="s">
        <v>72</v>
      </c>
      <c r="C75" s="63"/>
      <c r="D75" s="64"/>
      <c r="E75" s="173"/>
      <c r="F75" s="82"/>
    </row>
    <row r="76" spans="1:9" ht="16.5" thickBot="1" x14ac:dyDescent="0.3">
      <c r="A76" s="125" t="s">
        <v>49</v>
      </c>
      <c r="B76" s="65" t="s">
        <v>74</v>
      </c>
      <c r="C76" s="71"/>
      <c r="D76" s="72"/>
      <c r="E76" s="178"/>
      <c r="F76" s="116"/>
    </row>
    <row r="77" spans="1:9" x14ac:dyDescent="0.25">
      <c r="A77" s="126" t="s">
        <v>50</v>
      </c>
      <c r="B77" s="103" t="s">
        <v>545</v>
      </c>
      <c r="C77" s="51"/>
      <c r="D77" s="52"/>
      <c r="E77" s="169"/>
      <c r="F77" s="104"/>
    </row>
    <row r="78" spans="1:9" ht="16.5" thickBot="1" x14ac:dyDescent="0.3">
      <c r="A78" s="77"/>
      <c r="B78" s="62" t="s">
        <v>517</v>
      </c>
      <c r="C78" s="67"/>
      <c r="D78" s="68"/>
      <c r="E78" s="171"/>
      <c r="F78" s="82"/>
    </row>
    <row r="79" spans="1:9" ht="48" thickBot="1" x14ac:dyDescent="0.3">
      <c r="A79" s="125" t="s">
        <v>50</v>
      </c>
      <c r="B79" s="65" t="s">
        <v>398</v>
      </c>
      <c r="C79" s="71"/>
      <c r="D79" s="72"/>
      <c r="E79" s="178"/>
      <c r="F79" s="116"/>
    </row>
    <row r="80" spans="1:9" ht="47.25" x14ac:dyDescent="0.25">
      <c r="A80" s="126" t="s">
        <v>51</v>
      </c>
      <c r="B80" s="103" t="s">
        <v>399</v>
      </c>
      <c r="C80" s="69"/>
      <c r="D80" s="70"/>
      <c r="E80" s="176"/>
      <c r="F80" s="104"/>
    </row>
    <row r="81" spans="1:6" ht="32.25" thickBot="1" x14ac:dyDescent="0.3">
      <c r="A81" s="151"/>
      <c r="B81" s="182" t="s">
        <v>65</v>
      </c>
      <c r="C81" s="183"/>
      <c r="D81" s="152"/>
      <c r="E81" s="184"/>
      <c r="F81" s="157"/>
    </row>
    <row r="82" spans="1:6" ht="16.5" thickBot="1" x14ac:dyDescent="0.3">
      <c r="A82" s="154"/>
      <c r="B82" s="155"/>
      <c r="C82" s="156"/>
      <c r="D82" s="156"/>
      <c r="E82" s="156"/>
      <c r="F82" s="186"/>
    </row>
    <row r="83" spans="1:6" x14ac:dyDescent="0.25">
      <c r="A83" s="153"/>
      <c r="B83" s="128" t="s">
        <v>515</v>
      </c>
      <c r="C83" s="73"/>
      <c r="D83" s="74"/>
      <c r="E83" s="185"/>
      <c r="F83" s="115"/>
    </row>
    <row r="84" spans="1:6" x14ac:dyDescent="0.25">
      <c r="A84" s="57" t="s">
        <v>417</v>
      </c>
      <c r="B84" s="58" t="s">
        <v>516</v>
      </c>
      <c r="C84" s="75"/>
      <c r="D84" s="76"/>
      <c r="E84" s="179"/>
      <c r="F84" s="81"/>
    </row>
    <row r="85" spans="1:6" x14ac:dyDescent="0.25">
      <c r="A85" s="211" t="s">
        <v>122</v>
      </c>
      <c r="B85" s="213" t="s">
        <v>518</v>
      </c>
      <c r="C85" s="214"/>
      <c r="D85" s="212"/>
      <c r="E85" s="215"/>
      <c r="F85" s="157"/>
    </row>
    <row r="86" spans="1:6" ht="16.5" thickBot="1" x14ac:dyDescent="0.3">
      <c r="A86" s="61" t="s">
        <v>123</v>
      </c>
      <c r="B86" s="62" t="s">
        <v>131</v>
      </c>
      <c r="C86" s="78"/>
      <c r="D86" s="79"/>
      <c r="E86" s="180"/>
      <c r="F86" s="82"/>
    </row>
    <row r="88" spans="1:6" x14ac:dyDescent="0.25">
      <c r="A88" s="84" t="s">
        <v>519</v>
      </c>
      <c r="B88" s="83"/>
      <c r="C88" s="83"/>
      <c r="D88" s="83"/>
    </row>
  </sheetData>
  <mergeCells count="5">
    <mergeCell ref="A5:F5"/>
    <mergeCell ref="A15:A16"/>
    <mergeCell ref="B15:B16"/>
    <mergeCell ref="C15:D15"/>
    <mergeCell ref="E15:F1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63"/>
  <sheetViews>
    <sheetView view="pageBreakPreview" topLeftCell="A6" zoomScale="84" zoomScaleNormal="70" zoomScaleSheetLayoutView="84" workbookViewId="0">
      <pane xSplit="2" ySplit="12" topLeftCell="C39" activePane="bottomRight" state="frozen"/>
      <selection activeCell="H13" sqref="H13:K13"/>
      <selection pane="topRight" activeCell="H13" sqref="H13:K13"/>
      <selection pane="bottomLeft" activeCell="H13" sqref="H13:K13"/>
      <selection pane="bottomRight" activeCell="H13" sqref="H13:K13"/>
    </sheetView>
  </sheetViews>
  <sheetFormatPr defaultColWidth="9" defaultRowHeight="15.75" x14ac:dyDescent="0.25"/>
  <cols>
    <col min="1" max="1" width="9" style="1"/>
    <col min="2" max="2" width="37.25" style="1" bestFit="1" customWidth="1"/>
    <col min="3" max="3" width="13.375" style="1" customWidth="1"/>
    <col min="4" max="5" width="10.875" style="1" customWidth="1"/>
    <col min="6" max="7" width="20.75" style="205" customWidth="1"/>
    <col min="8" max="8" width="14.375" style="1" customWidth="1"/>
    <col min="9" max="9" width="12.25" style="1" customWidth="1"/>
    <col min="10" max="10" width="6.25" style="1" customWidth="1"/>
    <col min="11" max="12" width="14.375" style="1" customWidth="1"/>
    <col min="13" max="13" width="37.5" style="1" customWidth="1"/>
    <col min="14" max="16384" width="9" style="1"/>
  </cols>
  <sheetData>
    <row r="1" spans="1:13" x14ac:dyDescent="0.25">
      <c r="M1" s="437" t="s">
        <v>294</v>
      </c>
    </row>
    <row r="2" spans="1:13" x14ac:dyDescent="0.25">
      <c r="M2" s="437" t="s">
        <v>91</v>
      </c>
    </row>
    <row r="3" spans="1:13" x14ac:dyDescent="0.25">
      <c r="M3" s="437" t="s">
        <v>106</v>
      </c>
    </row>
    <row r="4" spans="1:13" x14ac:dyDescent="0.25">
      <c r="M4" s="437"/>
    </row>
    <row r="5" spans="1:13" x14ac:dyDescent="0.25">
      <c r="A5" s="16"/>
    </row>
    <row r="6" spans="1:13" ht="33" customHeight="1" x14ac:dyDescent="0.25">
      <c r="A6" s="1079" t="s">
        <v>322</v>
      </c>
      <c r="B6" s="907"/>
      <c r="C6" s="907"/>
      <c r="D6" s="907"/>
      <c r="E6" s="907"/>
      <c r="F6" s="907"/>
      <c r="G6" s="907"/>
      <c r="H6" s="907"/>
      <c r="I6" s="907"/>
      <c r="J6" s="907"/>
      <c r="K6" s="907"/>
      <c r="L6" s="907"/>
      <c r="M6" s="907"/>
    </row>
    <row r="8" spans="1:13" x14ac:dyDescent="0.25">
      <c r="M8" s="437" t="s">
        <v>92</v>
      </c>
    </row>
    <row r="9" spans="1:13" x14ac:dyDescent="0.25">
      <c r="M9" s="437" t="s">
        <v>414</v>
      </c>
    </row>
    <row r="10" spans="1:13" x14ac:dyDescent="0.25">
      <c r="M10" s="4"/>
    </row>
    <row r="11" spans="1:13" x14ac:dyDescent="0.25">
      <c r="M11" s="437" t="s">
        <v>622</v>
      </c>
    </row>
    <row r="12" spans="1:13" x14ac:dyDescent="0.25">
      <c r="A12" s="16"/>
      <c r="M12" s="437" t="s">
        <v>623</v>
      </c>
    </row>
    <row r="13" spans="1:13" x14ac:dyDescent="0.25">
      <c r="A13" s="16"/>
      <c r="M13" s="462" t="s">
        <v>96</v>
      </c>
    </row>
    <row r="14" spans="1:13" ht="16.5" thickBot="1" x14ac:dyDescent="0.3">
      <c r="A14" s="16"/>
      <c r="M14" s="4"/>
    </row>
    <row r="15" spans="1:13" ht="41.25" customHeight="1" x14ac:dyDescent="0.25">
      <c r="A15" s="908" t="s">
        <v>431</v>
      </c>
      <c r="B15" s="911" t="s">
        <v>454</v>
      </c>
      <c r="C15" s="911" t="s">
        <v>266</v>
      </c>
      <c r="D15" s="1098" t="s">
        <v>98</v>
      </c>
      <c r="E15" s="1099"/>
      <c r="F15" s="914" t="s">
        <v>127</v>
      </c>
      <c r="G15" s="914" t="s">
        <v>389</v>
      </c>
      <c r="H15" s="914" t="s">
        <v>267</v>
      </c>
      <c r="I15" s="911" t="s">
        <v>541</v>
      </c>
      <c r="J15" s="911"/>
      <c r="K15" s="911"/>
      <c r="L15" s="911"/>
      <c r="M15" s="1104" t="s">
        <v>433</v>
      </c>
    </row>
    <row r="16" spans="1:13" ht="41.25" customHeight="1" x14ac:dyDescent="0.25">
      <c r="A16" s="909"/>
      <c r="B16" s="912"/>
      <c r="C16" s="912"/>
      <c r="D16" s="1100"/>
      <c r="E16" s="1101"/>
      <c r="F16" s="915"/>
      <c r="G16" s="915"/>
      <c r="H16" s="915"/>
      <c r="I16" s="912" t="s">
        <v>477</v>
      </c>
      <c r="J16" s="912" t="s">
        <v>535</v>
      </c>
      <c r="K16" s="912" t="s">
        <v>533</v>
      </c>
      <c r="L16" s="912"/>
      <c r="M16" s="1105"/>
    </row>
    <row r="17" spans="1:13" ht="89.25" customHeight="1" x14ac:dyDescent="0.25">
      <c r="A17" s="909"/>
      <c r="B17" s="912"/>
      <c r="C17" s="912"/>
      <c r="D17" s="15" t="s">
        <v>549</v>
      </c>
      <c r="E17" s="15" t="s">
        <v>550</v>
      </c>
      <c r="F17" s="1107"/>
      <c r="G17" s="1107"/>
      <c r="H17" s="1107"/>
      <c r="I17" s="912"/>
      <c r="J17" s="912"/>
      <c r="K17" s="15" t="s">
        <v>532</v>
      </c>
      <c r="L17" s="15" t="s">
        <v>534</v>
      </c>
      <c r="M17" s="1106"/>
    </row>
    <row r="18" spans="1:13" x14ac:dyDescent="0.25">
      <c r="A18" s="27"/>
      <c r="B18" s="26" t="s">
        <v>455</v>
      </c>
      <c r="C18" s="26"/>
      <c r="D18" s="26"/>
      <c r="E18" s="6"/>
      <c r="F18" s="6"/>
      <c r="G18" s="6"/>
      <c r="H18" s="6"/>
      <c r="I18" s="6"/>
      <c r="J18" s="6"/>
      <c r="K18" s="6"/>
      <c r="L18" s="6"/>
      <c r="M18" s="7"/>
    </row>
    <row r="19" spans="1:13" ht="31.5" x14ac:dyDescent="0.25">
      <c r="A19" s="27" t="s">
        <v>417</v>
      </c>
      <c r="B19" s="26" t="s">
        <v>540</v>
      </c>
      <c r="C19" s="26"/>
      <c r="D19" s="26"/>
      <c r="E19" s="26"/>
      <c r="F19" s="6"/>
      <c r="G19" s="6"/>
      <c r="H19" s="6"/>
      <c r="I19" s="6"/>
      <c r="J19" s="6"/>
      <c r="K19" s="6"/>
      <c r="L19" s="6"/>
      <c r="M19" s="7"/>
    </row>
    <row r="20" spans="1:13" ht="31.5" x14ac:dyDescent="0.25">
      <c r="A20" s="113" t="s">
        <v>418</v>
      </c>
      <c r="B20" s="26" t="s">
        <v>537</v>
      </c>
      <c r="C20" s="26"/>
      <c r="D20" s="26"/>
      <c r="E20" s="26"/>
      <c r="F20" s="6"/>
      <c r="G20" s="6"/>
      <c r="H20" s="6"/>
      <c r="I20" s="6"/>
      <c r="J20" s="6"/>
      <c r="K20" s="6"/>
      <c r="L20" s="6"/>
      <c r="M20" s="7"/>
    </row>
    <row r="21" spans="1:13" x14ac:dyDescent="0.25">
      <c r="A21" s="18">
        <v>1</v>
      </c>
      <c r="B21" s="5" t="s">
        <v>456</v>
      </c>
      <c r="C21" s="5"/>
      <c r="D21" s="5"/>
      <c r="E21" s="5"/>
      <c r="F21" s="6"/>
      <c r="G21" s="6"/>
      <c r="H21" s="6"/>
      <c r="I21" s="6"/>
      <c r="J21" s="6"/>
      <c r="K21" s="6"/>
      <c r="L21" s="6"/>
      <c r="M21" s="7"/>
    </row>
    <row r="22" spans="1:13" x14ac:dyDescent="0.25">
      <c r="A22" s="18">
        <v>2</v>
      </c>
      <c r="B22" s="5" t="s">
        <v>458</v>
      </c>
      <c r="C22" s="5"/>
      <c r="D22" s="5"/>
      <c r="E22" s="5"/>
      <c r="F22" s="6"/>
      <c r="G22" s="6"/>
      <c r="H22" s="6"/>
      <c r="I22" s="6"/>
      <c r="J22" s="6"/>
      <c r="K22" s="6"/>
      <c r="L22" s="6"/>
      <c r="M22" s="7"/>
    </row>
    <row r="23" spans="1:13" x14ac:dyDescent="0.25">
      <c r="A23" s="18" t="s">
        <v>457</v>
      </c>
      <c r="B23" s="5"/>
      <c r="C23" s="5"/>
      <c r="D23" s="5"/>
      <c r="E23" s="5"/>
      <c r="F23" s="6"/>
      <c r="G23" s="6"/>
      <c r="H23" s="6"/>
      <c r="I23" s="6"/>
      <c r="J23" s="6"/>
      <c r="K23" s="6"/>
      <c r="L23" s="6"/>
      <c r="M23" s="7"/>
    </row>
    <row r="24" spans="1:13" ht="31.5" x14ac:dyDescent="0.25">
      <c r="A24" s="27" t="s">
        <v>419</v>
      </c>
      <c r="B24" s="26" t="s">
        <v>73</v>
      </c>
      <c r="C24" s="26"/>
      <c r="D24" s="5"/>
      <c r="E24" s="5"/>
      <c r="F24" s="6"/>
      <c r="G24" s="6"/>
      <c r="H24" s="6"/>
      <c r="I24" s="6"/>
      <c r="J24" s="6"/>
      <c r="K24" s="6"/>
      <c r="L24" s="6"/>
      <c r="M24" s="7"/>
    </row>
    <row r="25" spans="1:13" x14ac:dyDescent="0.25">
      <c r="A25" s="18">
        <v>1</v>
      </c>
      <c r="B25" s="5" t="s">
        <v>456</v>
      </c>
      <c r="C25" s="5"/>
      <c r="D25" s="5"/>
      <c r="E25" s="5"/>
      <c r="F25" s="6"/>
      <c r="G25" s="6"/>
      <c r="H25" s="6"/>
      <c r="I25" s="6"/>
      <c r="J25" s="6"/>
      <c r="K25" s="6"/>
      <c r="L25" s="6"/>
      <c r="M25" s="7"/>
    </row>
    <row r="26" spans="1:13" x14ac:dyDescent="0.25">
      <c r="A26" s="18">
        <v>2</v>
      </c>
      <c r="B26" s="5" t="s">
        <v>458</v>
      </c>
      <c r="C26" s="5"/>
      <c r="D26" s="5"/>
      <c r="E26" s="5"/>
      <c r="F26" s="6"/>
      <c r="G26" s="6"/>
      <c r="H26" s="6"/>
      <c r="I26" s="6"/>
      <c r="J26" s="6"/>
      <c r="K26" s="6"/>
      <c r="L26" s="6"/>
      <c r="M26" s="7"/>
    </row>
    <row r="27" spans="1:13" x14ac:dyDescent="0.25">
      <c r="A27" s="18" t="s">
        <v>457</v>
      </c>
      <c r="B27" s="5"/>
      <c r="C27" s="5"/>
      <c r="D27" s="5"/>
      <c r="E27" s="5"/>
      <c r="F27" s="6"/>
      <c r="G27" s="6"/>
      <c r="H27" s="6"/>
      <c r="I27" s="6"/>
      <c r="J27" s="6"/>
      <c r="K27" s="6"/>
      <c r="L27" s="6"/>
      <c r="M27" s="7"/>
    </row>
    <row r="28" spans="1:13" ht="31.5" x14ac:dyDescent="0.25">
      <c r="A28" s="27" t="s">
        <v>430</v>
      </c>
      <c r="B28" s="26" t="s">
        <v>538</v>
      </c>
      <c r="C28" s="26"/>
      <c r="D28" s="5"/>
      <c r="E28" s="5"/>
      <c r="F28" s="6"/>
      <c r="G28" s="6"/>
      <c r="H28" s="6"/>
      <c r="I28" s="6"/>
      <c r="J28" s="6"/>
      <c r="K28" s="6"/>
      <c r="L28" s="6"/>
      <c r="M28" s="7"/>
    </row>
    <row r="29" spans="1:13" x14ac:dyDescent="0.25">
      <c r="A29" s="18">
        <v>1</v>
      </c>
      <c r="B29" s="5" t="s">
        <v>456</v>
      </c>
      <c r="C29" s="5"/>
      <c r="D29" s="5"/>
      <c r="E29" s="5"/>
      <c r="F29" s="6"/>
      <c r="G29" s="6"/>
      <c r="H29" s="6"/>
      <c r="I29" s="6"/>
      <c r="J29" s="6"/>
      <c r="K29" s="6"/>
      <c r="L29" s="6"/>
      <c r="M29" s="7"/>
    </row>
    <row r="30" spans="1:13" x14ac:dyDescent="0.25">
      <c r="A30" s="18">
        <v>2</v>
      </c>
      <c r="B30" s="5" t="s">
        <v>458</v>
      </c>
      <c r="C30" s="5"/>
      <c r="D30" s="5"/>
      <c r="E30" s="5"/>
      <c r="F30" s="6"/>
      <c r="G30" s="6"/>
      <c r="H30" s="6"/>
      <c r="I30" s="6"/>
      <c r="J30" s="6"/>
      <c r="K30" s="6"/>
      <c r="L30" s="6"/>
      <c r="M30" s="7"/>
    </row>
    <row r="31" spans="1:13" x14ac:dyDescent="0.25">
      <c r="A31" s="18" t="s">
        <v>457</v>
      </c>
      <c r="B31" s="5"/>
      <c r="C31" s="5"/>
      <c r="D31" s="5"/>
      <c r="E31" s="5"/>
      <c r="F31" s="6"/>
      <c r="G31" s="6"/>
      <c r="H31" s="6"/>
      <c r="I31" s="6"/>
      <c r="J31" s="6"/>
      <c r="K31" s="6"/>
      <c r="L31" s="6"/>
      <c r="M31" s="7"/>
    </row>
    <row r="32" spans="1:13" ht="47.25" x14ac:dyDescent="0.25">
      <c r="A32" s="27" t="s">
        <v>447</v>
      </c>
      <c r="B32" s="26" t="s">
        <v>539</v>
      </c>
      <c r="C32" s="5"/>
      <c r="D32" s="5"/>
      <c r="E32" s="5"/>
      <c r="F32" s="6"/>
      <c r="G32" s="6"/>
      <c r="H32" s="6"/>
      <c r="I32" s="6"/>
      <c r="J32" s="6"/>
      <c r="K32" s="6"/>
      <c r="L32" s="6"/>
      <c r="M32" s="7"/>
    </row>
    <row r="33" spans="1:13" x14ac:dyDescent="0.25">
      <c r="A33" s="18">
        <v>1</v>
      </c>
      <c r="B33" s="5" t="s">
        <v>456</v>
      </c>
      <c r="C33" s="5"/>
      <c r="D33" s="5"/>
      <c r="E33" s="5"/>
      <c r="F33" s="6"/>
      <c r="G33" s="6"/>
      <c r="H33" s="6"/>
      <c r="I33" s="6"/>
      <c r="J33" s="6"/>
      <c r="K33" s="6"/>
      <c r="L33" s="6"/>
      <c r="M33" s="7"/>
    </row>
    <row r="34" spans="1:13" x14ac:dyDescent="0.25">
      <c r="A34" s="18">
        <v>2</v>
      </c>
      <c r="B34" s="5" t="s">
        <v>458</v>
      </c>
      <c r="C34" s="5"/>
      <c r="D34" s="5"/>
      <c r="E34" s="5"/>
      <c r="F34" s="6"/>
      <c r="G34" s="6"/>
      <c r="H34" s="6"/>
      <c r="I34" s="6"/>
      <c r="J34" s="6"/>
      <c r="K34" s="6"/>
      <c r="L34" s="6"/>
      <c r="M34" s="7"/>
    </row>
    <row r="35" spans="1:13" x14ac:dyDescent="0.25">
      <c r="A35" s="18" t="s">
        <v>457</v>
      </c>
      <c r="B35" s="5"/>
      <c r="C35" s="5"/>
      <c r="D35" s="5"/>
      <c r="E35" s="5"/>
      <c r="F35" s="6"/>
      <c r="G35" s="6"/>
      <c r="H35" s="6"/>
      <c r="I35" s="6"/>
      <c r="J35" s="6"/>
      <c r="K35" s="6"/>
      <c r="L35" s="6"/>
      <c r="M35" s="7"/>
    </row>
    <row r="36" spans="1:13" x14ac:dyDescent="0.25">
      <c r="A36" s="27" t="s">
        <v>420</v>
      </c>
      <c r="B36" s="26" t="s">
        <v>469</v>
      </c>
      <c r="C36" s="26"/>
      <c r="D36" s="26"/>
      <c r="E36" s="26"/>
      <c r="F36" s="6"/>
      <c r="G36" s="6"/>
      <c r="H36" s="6"/>
      <c r="I36" s="6"/>
      <c r="J36" s="6"/>
      <c r="K36" s="6"/>
      <c r="L36" s="6"/>
      <c r="M36" s="7"/>
    </row>
    <row r="37" spans="1:13" ht="31.5" x14ac:dyDescent="0.25">
      <c r="A37" s="113" t="s">
        <v>421</v>
      </c>
      <c r="B37" s="26" t="s">
        <v>537</v>
      </c>
      <c r="C37" s="26"/>
      <c r="D37" s="26"/>
      <c r="E37" s="26"/>
      <c r="F37" s="6"/>
      <c r="G37" s="6"/>
      <c r="H37" s="6"/>
      <c r="I37" s="6"/>
      <c r="J37" s="6"/>
      <c r="K37" s="6"/>
      <c r="L37" s="6"/>
      <c r="M37" s="7"/>
    </row>
    <row r="38" spans="1:13" x14ac:dyDescent="0.25">
      <c r="A38" s="18">
        <v>1</v>
      </c>
      <c r="B38" s="5" t="s">
        <v>456</v>
      </c>
      <c r="C38" s="26"/>
      <c r="D38" s="26"/>
      <c r="E38" s="26"/>
      <c r="F38" s="6"/>
      <c r="G38" s="6"/>
      <c r="H38" s="6"/>
      <c r="I38" s="6"/>
      <c r="J38" s="6"/>
      <c r="K38" s="6"/>
      <c r="L38" s="6"/>
      <c r="M38" s="7"/>
    </row>
    <row r="39" spans="1:13" x14ac:dyDescent="0.25">
      <c r="A39" s="18">
        <v>2</v>
      </c>
      <c r="B39" s="5" t="s">
        <v>458</v>
      </c>
      <c r="C39" s="26"/>
      <c r="D39" s="26"/>
      <c r="E39" s="26"/>
      <c r="F39" s="6"/>
      <c r="G39" s="6"/>
      <c r="H39" s="6"/>
      <c r="I39" s="6"/>
      <c r="J39" s="6"/>
      <c r="K39" s="6"/>
      <c r="L39" s="6"/>
      <c r="M39" s="7"/>
    </row>
    <row r="40" spans="1:13" x14ac:dyDescent="0.25">
      <c r="A40" s="18" t="s">
        <v>457</v>
      </c>
      <c r="B40" s="5"/>
      <c r="C40" s="26"/>
      <c r="D40" s="26"/>
      <c r="E40" s="26"/>
      <c r="F40" s="6"/>
      <c r="G40" s="6"/>
      <c r="H40" s="6"/>
      <c r="I40" s="6"/>
      <c r="J40" s="6"/>
      <c r="K40" s="6"/>
      <c r="L40" s="6"/>
      <c r="M40" s="7"/>
    </row>
    <row r="41" spans="1:13" x14ac:dyDescent="0.25">
      <c r="A41" s="113" t="s">
        <v>422</v>
      </c>
      <c r="B41" s="206" t="s">
        <v>97</v>
      </c>
      <c r="C41" s="26"/>
      <c r="D41" s="26"/>
      <c r="E41" s="26"/>
      <c r="F41" s="6"/>
      <c r="G41" s="6"/>
      <c r="H41" s="6"/>
      <c r="I41" s="6"/>
      <c r="J41" s="6"/>
      <c r="K41" s="6"/>
      <c r="L41" s="6"/>
      <c r="M41" s="7"/>
    </row>
    <row r="42" spans="1:13" x14ac:dyDescent="0.25">
      <c r="A42" s="18">
        <v>1</v>
      </c>
      <c r="B42" s="5" t="s">
        <v>456</v>
      </c>
      <c r="C42" s="26"/>
      <c r="D42" s="26"/>
      <c r="E42" s="26"/>
      <c r="F42" s="6"/>
      <c r="G42" s="6"/>
      <c r="H42" s="6"/>
      <c r="I42" s="6"/>
      <c r="J42" s="6"/>
      <c r="K42" s="6"/>
      <c r="L42" s="6"/>
      <c r="M42" s="7"/>
    </row>
    <row r="43" spans="1:13" x14ac:dyDescent="0.25">
      <c r="A43" s="18"/>
      <c r="B43" s="5" t="s">
        <v>548</v>
      </c>
      <c r="C43" s="26"/>
      <c r="D43" s="26"/>
      <c r="E43" s="26"/>
      <c r="F43" s="6"/>
      <c r="G43" s="6"/>
      <c r="H43" s="6"/>
      <c r="I43" s="6"/>
      <c r="J43" s="6"/>
      <c r="K43" s="6"/>
      <c r="L43" s="6"/>
      <c r="M43" s="7"/>
    </row>
    <row r="44" spans="1:13" x14ac:dyDescent="0.25">
      <c r="A44" s="18">
        <v>2</v>
      </c>
      <c r="B44" s="5" t="s">
        <v>458</v>
      </c>
      <c r="C44" s="26"/>
      <c r="D44" s="26"/>
      <c r="E44" s="26"/>
      <c r="F44" s="6"/>
      <c r="G44" s="6"/>
      <c r="H44" s="6"/>
      <c r="I44" s="6"/>
      <c r="J44" s="6"/>
      <c r="K44" s="6"/>
      <c r="L44" s="6"/>
      <c r="M44" s="7"/>
    </row>
    <row r="45" spans="1:13" x14ac:dyDescent="0.25">
      <c r="A45" s="18"/>
      <c r="B45" s="5" t="s">
        <v>548</v>
      </c>
      <c r="C45" s="5"/>
      <c r="D45" s="5"/>
      <c r="E45" s="5"/>
      <c r="F45" s="6"/>
      <c r="G45" s="6"/>
      <c r="H45" s="6"/>
      <c r="I45" s="6"/>
      <c r="J45" s="6"/>
      <c r="K45" s="6"/>
      <c r="L45" s="6"/>
      <c r="M45" s="7"/>
    </row>
    <row r="46" spans="1:13" x14ac:dyDescent="0.25">
      <c r="A46" s="18" t="s">
        <v>457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7"/>
    </row>
    <row r="47" spans="1:13" ht="15.75" customHeight="1" x14ac:dyDescent="0.25">
      <c r="A47" s="1102" t="s">
        <v>515</v>
      </c>
      <c r="B47" s="1103"/>
      <c r="C47" s="5"/>
      <c r="D47" s="5"/>
      <c r="E47" s="5"/>
      <c r="F47" s="6"/>
      <c r="G47" s="6"/>
      <c r="H47" s="6"/>
      <c r="I47" s="6"/>
      <c r="J47" s="6"/>
      <c r="K47" s="6"/>
      <c r="L47" s="6"/>
      <c r="M47" s="7"/>
    </row>
    <row r="48" spans="1:13" ht="31.5" x14ac:dyDescent="0.25">
      <c r="A48" s="27"/>
      <c r="B48" s="26" t="s">
        <v>536</v>
      </c>
      <c r="C48" s="26"/>
      <c r="D48" s="5"/>
      <c r="E48" s="5"/>
      <c r="F48" s="6"/>
      <c r="G48" s="6"/>
      <c r="H48" s="6"/>
      <c r="I48" s="6"/>
      <c r="J48" s="6"/>
      <c r="K48" s="6"/>
      <c r="L48" s="6"/>
      <c r="M48" s="7"/>
    </row>
    <row r="49" spans="1:13" x14ac:dyDescent="0.25">
      <c r="A49" s="18">
        <v>1</v>
      </c>
      <c r="B49" s="5" t="s">
        <v>456</v>
      </c>
      <c r="C49" s="5"/>
      <c r="D49" s="5"/>
      <c r="E49" s="5"/>
      <c r="F49" s="6"/>
      <c r="G49" s="6"/>
      <c r="H49" s="6"/>
      <c r="I49" s="6"/>
      <c r="J49" s="6"/>
      <c r="K49" s="6"/>
      <c r="L49" s="6"/>
      <c r="M49" s="7"/>
    </row>
    <row r="50" spans="1:13" x14ac:dyDescent="0.25">
      <c r="A50" s="18">
        <v>2</v>
      </c>
      <c r="B50" s="5" t="s">
        <v>458</v>
      </c>
      <c r="C50" s="5"/>
      <c r="D50" s="5"/>
      <c r="E50" s="5"/>
      <c r="F50" s="6"/>
      <c r="G50" s="6"/>
      <c r="H50" s="6"/>
      <c r="I50" s="6"/>
      <c r="J50" s="6"/>
      <c r="K50" s="6"/>
      <c r="L50" s="6"/>
      <c r="M50" s="7"/>
    </row>
    <row r="51" spans="1:13" ht="16.5" thickBot="1" x14ac:dyDescent="0.3">
      <c r="A51" s="89" t="s">
        <v>457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1"/>
    </row>
    <row r="52" spans="1:13" x14ac:dyDescent="0.25">
      <c r="A52" s="87"/>
      <c r="B52" s="8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 x14ac:dyDescent="0.25">
      <c r="A53" s="87"/>
      <c r="B53" s="88" t="s">
        <v>99</v>
      </c>
      <c r="C53" s="40"/>
      <c r="D53" s="87"/>
      <c r="E53" s="87"/>
      <c r="F53" s="87"/>
      <c r="G53" s="87"/>
      <c r="H53" s="87"/>
      <c r="I53" s="87"/>
      <c r="J53" s="87"/>
      <c r="K53" s="87"/>
      <c r="L53" s="87"/>
      <c r="M53" s="87"/>
    </row>
    <row r="54" spans="1:13" ht="15.75" customHeight="1" x14ac:dyDescent="0.25">
      <c r="A54" s="87"/>
      <c r="B54" s="928" t="s">
        <v>100</v>
      </c>
      <c r="C54" s="928"/>
      <c r="D54" s="928"/>
      <c r="E54" s="928"/>
      <c r="F54" s="87"/>
      <c r="G54" s="87"/>
      <c r="H54" s="87"/>
      <c r="I54" s="87"/>
      <c r="J54" s="87"/>
      <c r="K54" s="87"/>
      <c r="L54" s="87"/>
      <c r="M54" s="87"/>
    </row>
    <row r="55" spans="1:13" x14ac:dyDescent="0.25">
      <c r="A55" s="28"/>
      <c r="B55" s="1" t="s">
        <v>101</v>
      </c>
      <c r="F55" s="28"/>
      <c r="G55" s="28"/>
      <c r="H55" s="28"/>
      <c r="I55" s="28"/>
      <c r="J55" s="28"/>
      <c r="K55" s="28"/>
      <c r="L55" s="28"/>
      <c r="M55" s="28"/>
    </row>
    <row r="56" spans="1:13" x14ac:dyDescent="0.25">
      <c r="A56" s="28"/>
      <c r="F56" s="28"/>
      <c r="G56" s="28"/>
      <c r="H56" s="28"/>
      <c r="I56" s="28"/>
      <c r="J56" s="28"/>
      <c r="K56" s="28"/>
      <c r="L56" s="28"/>
      <c r="M56" s="28"/>
    </row>
    <row r="57" spans="1:13" ht="15.75" customHeight="1" x14ac:dyDescent="0.25">
      <c r="A57" s="28"/>
      <c r="B57" s="925" t="s">
        <v>102</v>
      </c>
      <c r="C57" s="925"/>
      <c r="D57" s="925"/>
      <c r="E57" s="925"/>
      <c r="F57" s="28"/>
      <c r="G57" s="28"/>
      <c r="H57" s="28"/>
      <c r="I57" s="28"/>
      <c r="J57" s="28"/>
      <c r="K57" s="28"/>
      <c r="L57" s="28"/>
      <c r="M57" s="28"/>
    </row>
    <row r="58" spans="1:13" x14ac:dyDescent="0.25">
      <c r="A58" s="28"/>
      <c r="B58" s="13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x14ac:dyDescent="0.25">
      <c r="A60" s="14"/>
    </row>
    <row r="61" spans="1:13" x14ac:dyDescent="0.25">
      <c r="A61" s="20"/>
      <c r="C61" s="21"/>
    </row>
    <row r="62" spans="1:13" x14ac:dyDescent="0.25">
      <c r="D62" s="24"/>
      <c r="F62" s="216"/>
      <c r="G62" s="216"/>
      <c r="H62" s="31"/>
      <c r="I62" s="31"/>
      <c r="J62" s="31"/>
      <c r="K62" s="31"/>
      <c r="L62" s="31"/>
      <c r="M62" s="31"/>
    </row>
    <row r="63" spans="1:13" x14ac:dyDescent="0.25">
      <c r="A63" s="17"/>
      <c r="D63" s="16"/>
    </row>
  </sheetData>
  <mergeCells count="16">
    <mergeCell ref="A6:M6"/>
    <mergeCell ref="B57:E57"/>
    <mergeCell ref="B54:E54"/>
    <mergeCell ref="D15:E16"/>
    <mergeCell ref="A47:B47"/>
    <mergeCell ref="M15:M17"/>
    <mergeCell ref="I15:L15"/>
    <mergeCell ref="A15:A17"/>
    <mergeCell ref="H15:H17"/>
    <mergeCell ref="J16:J17"/>
    <mergeCell ref="B15:B17"/>
    <mergeCell ref="K16:L16"/>
    <mergeCell ref="I16:I17"/>
    <mergeCell ref="C15:C17"/>
    <mergeCell ref="F15:F17"/>
    <mergeCell ref="G15:G17"/>
  </mergeCells>
  <phoneticPr fontId="3" type="noConversion"/>
  <pageMargins left="0.19685039370078741" right="0.19685039370078741" top="0.98425196850393704" bottom="0.98425196850393704" header="0.51181102362204722" footer="0.51181102362204722"/>
  <pageSetup paperSize="9" scale="4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72"/>
  <sheetViews>
    <sheetView view="pageBreakPreview" topLeftCell="A22" zoomScale="80" zoomScaleSheetLayoutView="80" workbookViewId="0">
      <selection activeCell="H13" sqref="H13:K13"/>
    </sheetView>
  </sheetViews>
  <sheetFormatPr defaultColWidth="9" defaultRowHeight="15.75" x14ac:dyDescent="0.25"/>
  <cols>
    <col min="1" max="1" width="9" style="1"/>
    <col min="2" max="2" width="34.875" style="1" customWidth="1"/>
    <col min="3" max="3" width="9.25" style="1" bestFit="1" customWidth="1"/>
    <col min="4" max="4" width="10.5" style="1" bestFit="1" customWidth="1"/>
    <col min="5" max="5" width="39.625" style="1" customWidth="1"/>
    <col min="6" max="16384" width="9" style="1"/>
  </cols>
  <sheetData>
    <row r="1" spans="1:7" x14ac:dyDescent="0.25">
      <c r="E1" s="437" t="s">
        <v>295</v>
      </c>
    </row>
    <row r="2" spans="1:7" x14ac:dyDescent="0.25">
      <c r="E2" s="437" t="s">
        <v>91</v>
      </c>
    </row>
    <row r="3" spans="1:7" x14ac:dyDescent="0.25">
      <c r="E3" s="437" t="s">
        <v>106</v>
      </c>
    </row>
    <row r="4" spans="1:7" x14ac:dyDescent="0.25">
      <c r="E4" s="437"/>
    </row>
    <row r="5" spans="1:7" ht="31.5" customHeight="1" x14ac:dyDescent="0.25">
      <c r="A5" s="1079" t="s">
        <v>323</v>
      </c>
      <c r="B5" s="907"/>
      <c r="C5" s="907"/>
      <c r="D5" s="907"/>
      <c r="E5" s="907"/>
      <c r="F5" s="1108"/>
      <c r="G5" s="1108"/>
    </row>
    <row r="6" spans="1:7" x14ac:dyDescent="0.25">
      <c r="A6" s="286"/>
      <c r="B6" s="286"/>
      <c r="C6" s="286"/>
      <c r="D6" s="286"/>
      <c r="E6" s="286"/>
      <c r="F6" s="19"/>
      <c r="G6" s="19"/>
    </row>
    <row r="7" spans="1:7" x14ac:dyDescent="0.25">
      <c r="E7" s="437" t="s">
        <v>92</v>
      </c>
    </row>
    <row r="8" spans="1:7" x14ac:dyDescent="0.25">
      <c r="E8" s="437" t="s">
        <v>414</v>
      </c>
    </row>
    <row r="9" spans="1:7" x14ac:dyDescent="0.25">
      <c r="E9" s="4"/>
    </row>
    <row r="10" spans="1:7" x14ac:dyDescent="0.25">
      <c r="E10" s="437" t="s">
        <v>622</v>
      </c>
    </row>
    <row r="11" spans="1:7" x14ac:dyDescent="0.25">
      <c r="E11" s="437" t="s">
        <v>623</v>
      </c>
    </row>
    <row r="12" spans="1:7" x14ac:dyDescent="0.25">
      <c r="E12" s="462" t="s">
        <v>96</v>
      </c>
    </row>
    <row r="13" spans="1:7" ht="16.5" thickBot="1" x14ac:dyDescent="0.3">
      <c r="A13" s="16"/>
      <c r="E13" s="4"/>
      <c r="F13" s="19"/>
      <c r="G13" s="19"/>
    </row>
    <row r="14" spans="1:7" ht="32.25" customHeight="1" x14ac:dyDescent="0.25">
      <c r="A14" s="908" t="s">
        <v>431</v>
      </c>
      <c r="B14" s="911" t="s">
        <v>432</v>
      </c>
      <c r="C14" s="1098" t="s">
        <v>98</v>
      </c>
      <c r="D14" s="1099"/>
      <c r="E14" s="920" t="s">
        <v>433</v>
      </c>
    </row>
    <row r="15" spans="1:7" x14ac:dyDescent="0.25">
      <c r="A15" s="909"/>
      <c r="B15" s="912"/>
      <c r="C15" s="1100"/>
      <c r="D15" s="1101"/>
      <c r="E15" s="921"/>
    </row>
    <row r="16" spans="1:7" ht="16.5" thickBot="1" x14ac:dyDescent="0.3">
      <c r="A16" s="910"/>
      <c r="B16" s="913"/>
      <c r="C16" s="99" t="s">
        <v>529</v>
      </c>
      <c r="D16" s="99" t="s">
        <v>542</v>
      </c>
      <c r="E16" s="922"/>
    </row>
    <row r="17" spans="1:7" x14ac:dyDescent="0.25">
      <c r="A17" s="225">
        <v>1</v>
      </c>
      <c r="B17" s="223" t="s">
        <v>442</v>
      </c>
      <c r="C17" s="86"/>
      <c r="D17" s="86"/>
      <c r="E17" s="93"/>
      <c r="F17" s="8"/>
      <c r="G17" s="8"/>
    </row>
    <row r="18" spans="1:7" ht="31.5" x14ac:dyDescent="0.25">
      <c r="A18" s="204" t="s">
        <v>418</v>
      </c>
      <c r="B18" s="5" t="s">
        <v>443</v>
      </c>
      <c r="C18" s="5"/>
      <c r="D18" s="5"/>
      <c r="E18" s="11"/>
    </row>
    <row r="19" spans="1:7" ht="31.5" x14ac:dyDescent="0.25">
      <c r="A19" s="204" t="s">
        <v>444</v>
      </c>
      <c r="B19" s="5" t="s">
        <v>467</v>
      </c>
      <c r="C19" s="5"/>
      <c r="D19" s="5"/>
      <c r="E19" s="11"/>
    </row>
    <row r="20" spans="1:7" x14ac:dyDescent="0.25">
      <c r="A20" s="204" t="s">
        <v>460</v>
      </c>
      <c r="B20" s="5" t="s">
        <v>468</v>
      </c>
      <c r="C20" s="6"/>
      <c r="D20" s="6"/>
      <c r="E20" s="11"/>
    </row>
    <row r="21" spans="1:7" ht="47.25" x14ac:dyDescent="0.25">
      <c r="A21" s="204" t="s">
        <v>464</v>
      </c>
      <c r="B21" s="5" t="s">
        <v>521</v>
      </c>
      <c r="C21" s="26"/>
      <c r="D21" s="26"/>
      <c r="E21" s="11"/>
    </row>
    <row r="22" spans="1:7" ht="31.5" x14ac:dyDescent="0.25">
      <c r="A22" s="204" t="s">
        <v>465</v>
      </c>
      <c r="B22" s="5" t="s">
        <v>522</v>
      </c>
      <c r="C22" s="26"/>
      <c r="D22" s="26"/>
      <c r="E22" s="11"/>
    </row>
    <row r="23" spans="1:7" ht="31.5" x14ac:dyDescent="0.25">
      <c r="A23" s="204" t="s">
        <v>466</v>
      </c>
      <c r="B23" s="5" t="s">
        <v>523</v>
      </c>
      <c r="C23" s="5"/>
      <c r="D23" s="5"/>
      <c r="E23" s="11"/>
    </row>
    <row r="24" spans="1:7" x14ac:dyDescent="0.25">
      <c r="A24" s="204" t="s">
        <v>129</v>
      </c>
      <c r="B24" s="5" t="s">
        <v>113</v>
      </c>
      <c r="C24" s="5"/>
      <c r="D24" s="5"/>
      <c r="E24" s="11"/>
    </row>
    <row r="25" spans="1:7" x14ac:dyDescent="0.25">
      <c r="A25" s="204" t="s">
        <v>419</v>
      </c>
      <c r="B25" s="5" t="s">
        <v>445</v>
      </c>
      <c r="C25" s="5"/>
      <c r="D25" s="5"/>
      <c r="E25" s="11"/>
    </row>
    <row r="26" spans="1:7" x14ac:dyDescent="0.25">
      <c r="A26" s="204" t="s">
        <v>114</v>
      </c>
      <c r="B26" s="5" t="s">
        <v>117</v>
      </c>
      <c r="C26" s="5"/>
      <c r="D26" s="5"/>
      <c r="E26" s="11"/>
    </row>
    <row r="27" spans="1:7" x14ac:dyDescent="0.25">
      <c r="A27" s="204" t="s">
        <v>115</v>
      </c>
      <c r="B27" s="5" t="s">
        <v>118</v>
      </c>
      <c r="C27" s="5"/>
      <c r="D27" s="5"/>
      <c r="E27" s="11"/>
    </row>
    <row r="28" spans="1:7" ht="31.5" x14ac:dyDescent="0.25">
      <c r="A28" s="204" t="s">
        <v>116</v>
      </c>
      <c r="B28" s="5" t="s">
        <v>119</v>
      </c>
      <c r="C28" s="5"/>
      <c r="D28" s="5"/>
      <c r="E28" s="11"/>
    </row>
    <row r="29" spans="1:7" x14ac:dyDescent="0.25">
      <c r="A29" s="204" t="s">
        <v>430</v>
      </c>
      <c r="B29" s="5" t="s">
        <v>446</v>
      </c>
      <c r="C29" s="5"/>
      <c r="D29" s="5"/>
      <c r="E29" s="11"/>
    </row>
    <row r="30" spans="1:7" x14ac:dyDescent="0.25">
      <c r="A30" s="204" t="s">
        <v>447</v>
      </c>
      <c r="B30" s="5" t="s">
        <v>448</v>
      </c>
      <c r="C30" s="5"/>
      <c r="D30" s="5"/>
      <c r="E30" s="11"/>
    </row>
    <row r="31" spans="1:7" x14ac:dyDescent="0.25">
      <c r="A31" s="204" t="s">
        <v>449</v>
      </c>
      <c r="B31" s="5" t="s">
        <v>524</v>
      </c>
      <c r="C31" s="5"/>
      <c r="D31" s="5"/>
      <c r="E31" s="11"/>
    </row>
    <row r="32" spans="1:7" ht="32.25" thickBot="1" x14ac:dyDescent="0.3">
      <c r="A32" s="209" t="s">
        <v>20</v>
      </c>
      <c r="B32" s="210" t="s">
        <v>125</v>
      </c>
      <c r="C32" s="210"/>
      <c r="D32" s="210"/>
      <c r="E32" s="34"/>
    </row>
    <row r="33" spans="1:5" x14ac:dyDescent="0.25">
      <c r="A33" s="222" t="s">
        <v>420</v>
      </c>
      <c r="B33" s="223" t="s">
        <v>525</v>
      </c>
      <c r="C33" s="223"/>
      <c r="D33" s="223"/>
      <c r="E33" s="224"/>
    </row>
    <row r="34" spans="1:5" x14ac:dyDescent="0.25">
      <c r="A34" s="204" t="s">
        <v>421</v>
      </c>
      <c r="B34" s="5" t="s">
        <v>530</v>
      </c>
      <c r="C34" s="5"/>
      <c r="D34" s="5"/>
      <c r="E34" s="11"/>
    </row>
    <row r="35" spans="1:5" x14ac:dyDescent="0.25">
      <c r="A35" s="204" t="s">
        <v>422</v>
      </c>
      <c r="B35" s="5" t="s">
        <v>526</v>
      </c>
      <c r="C35" s="5"/>
      <c r="D35" s="5"/>
      <c r="E35" s="11"/>
    </row>
    <row r="36" spans="1:5" ht="21.75" customHeight="1" x14ac:dyDescent="0.25">
      <c r="A36" s="208" t="s">
        <v>423</v>
      </c>
      <c r="B36" s="5" t="s">
        <v>527</v>
      </c>
      <c r="C36" s="10"/>
      <c r="D36" s="10"/>
      <c r="E36" s="201"/>
    </row>
    <row r="37" spans="1:5" x14ac:dyDescent="0.25">
      <c r="A37" s="208" t="s">
        <v>424</v>
      </c>
      <c r="B37" s="5" t="s">
        <v>450</v>
      </c>
      <c r="C37" s="10"/>
      <c r="D37" s="10"/>
      <c r="E37" s="201"/>
    </row>
    <row r="38" spans="1:5" x14ac:dyDescent="0.25">
      <c r="A38" s="204" t="s">
        <v>470</v>
      </c>
      <c r="B38" s="5" t="s">
        <v>463</v>
      </c>
      <c r="C38" s="10"/>
      <c r="D38" s="10"/>
      <c r="E38" s="201"/>
    </row>
    <row r="39" spans="1:5" x14ac:dyDescent="0.25">
      <c r="A39" s="204" t="s">
        <v>520</v>
      </c>
      <c r="B39" s="5" t="s">
        <v>121</v>
      </c>
      <c r="C39" s="10"/>
      <c r="D39" s="10"/>
      <c r="E39" s="201"/>
    </row>
    <row r="40" spans="1:5" ht="16.5" thickBot="1" x14ac:dyDescent="0.3">
      <c r="A40" s="209" t="s">
        <v>120</v>
      </c>
      <c r="B40" s="210" t="s">
        <v>451</v>
      </c>
      <c r="C40" s="33"/>
      <c r="D40" s="33"/>
      <c r="E40" s="203"/>
    </row>
    <row r="41" spans="1:5" ht="31.5" x14ac:dyDescent="0.25">
      <c r="A41" s="217"/>
      <c r="B41" s="218" t="s">
        <v>441</v>
      </c>
      <c r="C41" s="219"/>
      <c r="D41" s="219"/>
      <c r="E41" s="221"/>
    </row>
    <row r="42" spans="1:5" x14ac:dyDescent="0.25">
      <c r="A42" s="9"/>
      <c r="B42" s="5" t="s">
        <v>109</v>
      </c>
      <c r="C42" s="10"/>
      <c r="D42" s="10"/>
      <c r="E42" s="201"/>
    </row>
    <row r="43" spans="1:5" x14ac:dyDescent="0.25">
      <c r="A43" s="9"/>
      <c r="B43" s="198" t="s">
        <v>110</v>
      </c>
      <c r="C43" s="10"/>
      <c r="D43" s="10"/>
      <c r="E43" s="201"/>
    </row>
    <row r="44" spans="1:5" ht="16.5" thickBot="1" x14ac:dyDescent="0.3">
      <c r="A44" s="114"/>
      <c r="B44" s="199" t="s">
        <v>111</v>
      </c>
      <c r="C44" s="33"/>
      <c r="D44" s="33"/>
      <c r="E44" s="203"/>
    </row>
    <row r="45" spans="1:5" x14ac:dyDescent="0.25">
      <c r="A45" s="14"/>
      <c r="B45" s="207"/>
      <c r="C45" s="36"/>
      <c r="D45" s="36"/>
      <c r="E45" s="13"/>
    </row>
    <row r="46" spans="1:5" x14ac:dyDescent="0.25">
      <c r="A46" s="14" t="s">
        <v>528</v>
      </c>
      <c r="C46" s="28"/>
      <c r="D46" s="28"/>
    </row>
    <row r="47" spans="1:5" x14ac:dyDescent="0.25">
      <c r="A47" s="14" t="s">
        <v>543</v>
      </c>
      <c r="C47" s="28"/>
      <c r="D47" s="28"/>
    </row>
    <row r="48" spans="1:5" x14ac:dyDescent="0.25">
      <c r="A48" s="14"/>
      <c r="C48" s="28"/>
      <c r="D48" s="28"/>
    </row>
    <row r="49" spans="1:7" x14ac:dyDescent="0.25">
      <c r="A49" s="36"/>
      <c r="B49" s="101"/>
      <c r="C49" s="28"/>
      <c r="D49" s="28"/>
      <c r="E49" s="36"/>
      <c r="F49" s="13"/>
      <c r="G49" s="13"/>
    </row>
    <row r="50" spans="1:7" x14ac:dyDescent="0.25">
      <c r="C50" s="28"/>
      <c r="D50" s="28"/>
    </row>
    <row r="51" spans="1:7" x14ac:dyDescent="0.25">
      <c r="C51" s="28"/>
      <c r="D51" s="28"/>
    </row>
    <row r="52" spans="1:7" x14ac:dyDescent="0.25">
      <c r="C52" s="28"/>
      <c r="D52" s="28"/>
    </row>
    <row r="53" spans="1:7" x14ac:dyDescent="0.25">
      <c r="C53" s="28"/>
      <c r="D53" s="28"/>
    </row>
    <row r="54" spans="1:7" x14ac:dyDescent="0.25">
      <c r="C54" s="28"/>
      <c r="D54" s="28"/>
    </row>
    <row r="55" spans="1:7" x14ac:dyDescent="0.25">
      <c r="C55" s="28"/>
      <c r="D55" s="28"/>
    </row>
    <row r="56" spans="1:7" x14ac:dyDescent="0.25">
      <c r="C56" s="28"/>
      <c r="D56" s="28"/>
    </row>
    <row r="57" spans="1:7" x14ac:dyDescent="0.25">
      <c r="C57" s="28"/>
      <c r="D57" s="28"/>
    </row>
    <row r="58" spans="1:7" x14ac:dyDescent="0.25">
      <c r="C58" s="28"/>
      <c r="D58" s="28"/>
    </row>
    <row r="59" spans="1:7" x14ac:dyDescent="0.25">
      <c r="C59" s="28"/>
      <c r="D59" s="28"/>
    </row>
    <row r="60" spans="1:7" x14ac:dyDescent="0.25">
      <c r="C60" s="28"/>
      <c r="D60" s="28"/>
    </row>
    <row r="61" spans="1:7" x14ac:dyDescent="0.25">
      <c r="C61" s="28"/>
      <c r="D61" s="28"/>
    </row>
    <row r="62" spans="1:7" x14ac:dyDescent="0.25">
      <c r="C62" s="28"/>
      <c r="D62" s="28"/>
    </row>
    <row r="63" spans="1:7" x14ac:dyDescent="0.25">
      <c r="C63" s="87"/>
      <c r="D63" s="87"/>
    </row>
    <row r="67" spans="3:4" x14ac:dyDescent="0.25">
      <c r="C67" s="28"/>
      <c r="D67" s="28"/>
    </row>
    <row r="68" spans="3:4" x14ac:dyDescent="0.25">
      <c r="C68" s="28"/>
      <c r="D68" s="28"/>
    </row>
    <row r="71" spans="3:4" x14ac:dyDescent="0.25">
      <c r="C71" s="24"/>
    </row>
    <row r="72" spans="3:4" x14ac:dyDescent="0.25">
      <c r="C72" s="16"/>
    </row>
  </sheetData>
  <mergeCells count="6">
    <mergeCell ref="F5:G5"/>
    <mergeCell ref="A14:A16"/>
    <mergeCell ref="B14:B16"/>
    <mergeCell ref="E14:E16"/>
    <mergeCell ref="C14:D15"/>
    <mergeCell ref="A5:E5"/>
  </mergeCells>
  <phoneticPr fontId="3" type="noConversion"/>
  <pageMargins left="0.19685039370078741" right="0.19685039370078741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7"/>
  <sheetViews>
    <sheetView zoomScale="60" zoomScaleNormal="60" workbookViewId="0">
      <selection activeCell="H13" sqref="H13:K13"/>
    </sheetView>
  </sheetViews>
  <sheetFormatPr defaultColWidth="9" defaultRowHeight="15.75" x14ac:dyDescent="0.25"/>
  <cols>
    <col min="1" max="1" width="7.25" style="1" customWidth="1"/>
    <col min="2" max="2" width="25.25" style="1" customWidth="1"/>
    <col min="3" max="6" width="21.25" style="1" customWidth="1"/>
    <col min="7" max="8" width="8" style="1" customWidth="1"/>
    <col min="9" max="9" width="8.875" style="1" customWidth="1"/>
    <col min="10" max="10" width="10.25" style="1" customWidth="1"/>
    <col min="11" max="16384" width="9" style="1"/>
  </cols>
  <sheetData>
    <row r="1" spans="1:6" x14ac:dyDescent="0.25">
      <c r="F1" s="437" t="s">
        <v>296</v>
      </c>
    </row>
    <row r="2" spans="1:6" x14ac:dyDescent="0.25">
      <c r="F2" s="437" t="s">
        <v>91</v>
      </c>
    </row>
    <row r="3" spans="1:6" x14ac:dyDescent="0.25">
      <c r="F3" s="437" t="s">
        <v>106</v>
      </c>
    </row>
    <row r="4" spans="1:6" x14ac:dyDescent="0.25">
      <c r="F4" s="4"/>
    </row>
    <row r="5" spans="1:6" ht="32.25" customHeight="1" x14ac:dyDescent="0.25">
      <c r="A5" s="1079" t="s">
        <v>324</v>
      </c>
      <c r="B5" s="907"/>
      <c r="C5" s="907"/>
      <c r="D5" s="907"/>
      <c r="E5" s="907"/>
      <c r="F5" s="907"/>
    </row>
    <row r="6" spans="1:6" x14ac:dyDescent="0.25">
      <c r="A6" s="286"/>
      <c r="B6" s="286"/>
      <c r="C6" s="286"/>
      <c r="D6" s="286"/>
      <c r="E6" s="286"/>
      <c r="F6" s="286"/>
    </row>
    <row r="7" spans="1:6" x14ac:dyDescent="0.25">
      <c r="F7" s="437" t="s">
        <v>92</v>
      </c>
    </row>
    <row r="8" spans="1:6" x14ac:dyDescent="0.25">
      <c r="F8" s="437" t="s">
        <v>414</v>
      </c>
    </row>
    <row r="9" spans="1:6" x14ac:dyDescent="0.25">
      <c r="F9" s="4"/>
    </row>
    <row r="10" spans="1:6" x14ac:dyDescent="0.25">
      <c r="F10" s="437" t="s">
        <v>622</v>
      </c>
    </row>
    <row r="11" spans="1:6" x14ac:dyDescent="0.25">
      <c r="F11" s="437" t="s">
        <v>623</v>
      </c>
    </row>
    <row r="12" spans="1:6" x14ac:dyDescent="0.25">
      <c r="F12" s="462" t="s">
        <v>96</v>
      </c>
    </row>
    <row r="13" spans="1:6" ht="16.5" thickBot="1" x14ac:dyDescent="0.3"/>
    <row r="14" spans="1:6" ht="15.75" customHeight="1" x14ac:dyDescent="0.25">
      <c r="A14" s="1115" t="s">
        <v>416</v>
      </c>
      <c r="B14" s="1112" t="s">
        <v>471</v>
      </c>
      <c r="C14" s="1109" t="s">
        <v>461</v>
      </c>
      <c r="D14" s="1111"/>
      <c r="E14" s="1109" t="s">
        <v>531</v>
      </c>
      <c r="F14" s="1110"/>
    </row>
    <row r="15" spans="1:6" ht="15.75" customHeight="1" x14ac:dyDescent="0.25">
      <c r="A15" s="1116"/>
      <c r="B15" s="1113"/>
      <c r="C15" s="15" t="s">
        <v>529</v>
      </c>
      <c r="D15" s="15" t="s">
        <v>440</v>
      </c>
      <c r="E15" s="15" t="s">
        <v>529</v>
      </c>
      <c r="F15" s="293" t="s">
        <v>440</v>
      </c>
    </row>
    <row r="16" spans="1:6" ht="15.75" customHeight="1" x14ac:dyDescent="0.25">
      <c r="A16" s="1117"/>
      <c r="B16" s="1114"/>
      <c r="C16" s="15" t="s">
        <v>472</v>
      </c>
      <c r="D16" s="15" t="s">
        <v>472</v>
      </c>
      <c r="E16" s="15" t="s">
        <v>472</v>
      </c>
      <c r="F16" s="293" t="s">
        <v>472</v>
      </c>
    </row>
    <row r="17" spans="1:10" x14ac:dyDescent="0.25">
      <c r="A17" s="298">
        <v>1</v>
      </c>
      <c r="B17" s="297">
        <v>2</v>
      </c>
      <c r="C17" s="299">
        <v>3</v>
      </c>
      <c r="D17" s="299">
        <v>4</v>
      </c>
      <c r="E17" s="299">
        <v>5</v>
      </c>
      <c r="F17" s="300">
        <v>6</v>
      </c>
    </row>
    <row r="18" spans="1:10" ht="16.5" thickBot="1" x14ac:dyDescent="0.3">
      <c r="A18" s="105"/>
      <c r="B18" s="35"/>
      <c r="C18" s="301"/>
      <c r="D18" s="301"/>
      <c r="E18" s="301"/>
      <c r="F18" s="302"/>
    </row>
    <row r="19" spans="1:10" x14ac:dyDescent="0.25">
      <c r="A19" s="29"/>
      <c r="B19" s="102"/>
      <c r="C19" s="102"/>
      <c r="D19" s="102"/>
      <c r="E19" s="102"/>
      <c r="F19" s="102"/>
      <c r="G19" s="102"/>
      <c r="H19" s="102"/>
      <c r="I19" s="102"/>
      <c r="J19" s="13"/>
    </row>
    <row r="20" spans="1:10" x14ac:dyDescent="0.25">
      <c r="B20" s="1" t="s">
        <v>528</v>
      </c>
    </row>
    <row r="22" spans="1:10" x14ac:dyDescent="0.25">
      <c r="E22" s="13"/>
    </row>
    <row r="23" spans="1:10" x14ac:dyDescent="0.25">
      <c r="E23" s="13"/>
    </row>
    <row r="24" spans="1:10" x14ac:dyDescent="0.25">
      <c r="E24" s="13"/>
    </row>
    <row r="25" spans="1:10" x14ac:dyDescent="0.25">
      <c r="A25" s="20"/>
    </row>
    <row r="27" spans="1:10" x14ac:dyDescent="0.25">
      <c r="A27" s="17"/>
    </row>
  </sheetData>
  <mergeCells count="5">
    <mergeCell ref="A5:F5"/>
    <mergeCell ref="E14:F14"/>
    <mergeCell ref="C14:D14"/>
    <mergeCell ref="B14:B16"/>
    <mergeCell ref="A14:A16"/>
  </mergeCells>
  <phoneticPr fontId="3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61"/>
  <sheetViews>
    <sheetView topLeftCell="A16" zoomScale="60" zoomScaleNormal="60" workbookViewId="0">
      <selection activeCell="D13" sqref="D13:M13"/>
    </sheetView>
  </sheetViews>
  <sheetFormatPr defaultColWidth="9" defaultRowHeight="15.75" x14ac:dyDescent="0.25"/>
  <cols>
    <col min="1" max="1" width="9" style="1"/>
    <col min="2" max="2" width="37.25" style="1" bestFit="1" customWidth="1"/>
    <col min="3" max="3" width="13.375" style="1" customWidth="1"/>
    <col min="4" max="5" width="10.875" style="1" customWidth="1"/>
    <col min="6" max="6" width="6.125" style="1" bestFit="1" customWidth="1"/>
    <col min="7" max="7" width="6.375" style="1" bestFit="1" customWidth="1"/>
    <col min="8" max="8" width="6.125" style="1" bestFit="1" customWidth="1"/>
    <col min="9" max="9" width="6.375" style="1" bestFit="1" customWidth="1"/>
    <col min="10" max="10" width="6.125" style="1" bestFit="1" customWidth="1"/>
    <col min="11" max="11" width="6.375" style="1" bestFit="1" customWidth="1"/>
    <col min="12" max="12" width="6.125" style="1" bestFit="1" customWidth="1"/>
    <col min="13" max="13" width="6.375" style="1" bestFit="1" customWidth="1"/>
    <col min="14" max="14" width="9.875" style="205" customWidth="1"/>
    <col min="15" max="15" width="13.25" style="205" bestFit="1" customWidth="1"/>
    <col min="16" max="16" width="9.875" style="205" customWidth="1"/>
    <col min="17" max="17" width="13.25" style="205" customWidth="1"/>
    <col min="18" max="18" width="14.375" style="1" customWidth="1"/>
    <col min="19" max="19" width="12.25" style="1" customWidth="1"/>
    <col min="20" max="20" width="6.25" style="1" customWidth="1"/>
    <col min="21" max="22" width="14.375" style="1" customWidth="1"/>
    <col min="23" max="23" width="37.5" style="1" customWidth="1"/>
    <col min="24" max="16384" width="9" style="1"/>
  </cols>
  <sheetData>
    <row r="1" spans="1:23" x14ac:dyDescent="0.25">
      <c r="W1" s="437" t="s">
        <v>321</v>
      </c>
    </row>
    <row r="2" spans="1:23" x14ac:dyDescent="0.25">
      <c r="W2" s="437" t="s">
        <v>91</v>
      </c>
    </row>
    <row r="3" spans="1:23" x14ac:dyDescent="0.25">
      <c r="W3" s="437" t="s">
        <v>106</v>
      </c>
    </row>
    <row r="4" spans="1:23" x14ac:dyDescent="0.25">
      <c r="W4" s="4"/>
    </row>
    <row r="5" spans="1:23" ht="30.75" customHeight="1" x14ac:dyDescent="0.25">
      <c r="A5" s="1079" t="s">
        <v>325</v>
      </c>
      <c r="B5" s="907"/>
      <c r="C5" s="907"/>
      <c r="D5" s="907"/>
      <c r="E5" s="907"/>
      <c r="F5" s="907"/>
      <c r="G5" s="907"/>
      <c r="H5" s="907"/>
      <c r="I5" s="907"/>
      <c r="J5" s="907"/>
      <c r="K5" s="907"/>
      <c r="L5" s="907"/>
      <c r="M5" s="907"/>
      <c r="N5" s="907"/>
      <c r="O5" s="907"/>
      <c r="P5" s="907"/>
      <c r="Q5" s="907"/>
      <c r="R5" s="907"/>
      <c r="S5" s="907"/>
      <c r="T5" s="907"/>
      <c r="U5" s="907"/>
      <c r="V5" s="907"/>
      <c r="W5" s="907"/>
    </row>
    <row r="6" spans="1:23" x14ac:dyDescent="0.25">
      <c r="W6" s="437" t="s">
        <v>92</v>
      </c>
    </row>
    <row r="7" spans="1:23" x14ac:dyDescent="0.25">
      <c r="W7" s="437" t="s">
        <v>414</v>
      </c>
    </row>
    <row r="8" spans="1:23" x14ac:dyDescent="0.25">
      <c r="W8" s="4"/>
    </row>
    <row r="9" spans="1:23" x14ac:dyDescent="0.25">
      <c r="W9" s="437" t="s">
        <v>622</v>
      </c>
    </row>
    <row r="10" spans="1:23" x14ac:dyDescent="0.25">
      <c r="A10" s="16"/>
      <c r="W10" s="437" t="s">
        <v>623</v>
      </c>
    </row>
    <row r="11" spans="1:23" x14ac:dyDescent="0.25">
      <c r="A11" s="16"/>
      <c r="W11" s="462" t="s">
        <v>96</v>
      </c>
    </row>
    <row r="12" spans="1:23" ht="16.5" thickBot="1" x14ac:dyDescent="0.3"/>
    <row r="13" spans="1:23" ht="126" customHeight="1" x14ac:dyDescent="0.25">
      <c r="A13" s="908" t="s">
        <v>431</v>
      </c>
      <c r="B13" s="911" t="s">
        <v>454</v>
      </c>
      <c r="C13" s="911" t="s">
        <v>266</v>
      </c>
      <c r="D13" s="911" t="s">
        <v>98</v>
      </c>
      <c r="E13" s="911"/>
      <c r="F13" s="911"/>
      <c r="G13" s="911"/>
      <c r="H13" s="911"/>
      <c r="I13" s="911"/>
      <c r="J13" s="911"/>
      <c r="K13" s="911"/>
      <c r="L13" s="911"/>
      <c r="M13" s="911"/>
      <c r="N13" s="911" t="s">
        <v>127</v>
      </c>
      <c r="O13" s="911"/>
      <c r="P13" s="1098" t="s">
        <v>128</v>
      </c>
      <c r="Q13" s="1099"/>
      <c r="R13" s="911" t="s">
        <v>267</v>
      </c>
      <c r="S13" s="911" t="s">
        <v>541</v>
      </c>
      <c r="T13" s="911"/>
      <c r="U13" s="911"/>
      <c r="V13" s="911"/>
      <c r="W13" s="920" t="s">
        <v>433</v>
      </c>
    </row>
    <row r="14" spans="1:23" ht="31.5" customHeight="1" x14ac:dyDescent="0.25">
      <c r="A14" s="909"/>
      <c r="B14" s="912"/>
      <c r="C14" s="912"/>
      <c r="D14" s="912" t="s">
        <v>434</v>
      </c>
      <c r="E14" s="912"/>
      <c r="F14" s="912" t="s">
        <v>435</v>
      </c>
      <c r="G14" s="912"/>
      <c r="H14" s="912" t="s">
        <v>436</v>
      </c>
      <c r="I14" s="912"/>
      <c r="J14" s="912" t="s">
        <v>437</v>
      </c>
      <c r="K14" s="912"/>
      <c r="L14" s="912" t="s">
        <v>438</v>
      </c>
      <c r="M14" s="912"/>
      <c r="N14" s="912"/>
      <c r="O14" s="912"/>
      <c r="P14" s="1100"/>
      <c r="Q14" s="1101"/>
      <c r="R14" s="912"/>
      <c r="S14" s="912" t="s">
        <v>477</v>
      </c>
      <c r="T14" s="912" t="s">
        <v>535</v>
      </c>
      <c r="U14" s="912" t="s">
        <v>533</v>
      </c>
      <c r="V14" s="912"/>
      <c r="W14" s="1118"/>
    </row>
    <row r="15" spans="1:23" ht="81.75" customHeight="1" x14ac:dyDescent="0.25">
      <c r="A15" s="909"/>
      <c r="B15" s="912"/>
      <c r="C15" s="912"/>
      <c r="D15" s="15" t="s">
        <v>549</v>
      </c>
      <c r="E15" s="15" t="s">
        <v>550</v>
      </c>
      <c r="F15" s="15" t="s">
        <v>439</v>
      </c>
      <c r="G15" s="15" t="s">
        <v>440</v>
      </c>
      <c r="H15" s="15" t="s">
        <v>439</v>
      </c>
      <c r="I15" s="15" t="s">
        <v>440</v>
      </c>
      <c r="J15" s="15" t="s">
        <v>439</v>
      </c>
      <c r="K15" s="15" t="s">
        <v>440</v>
      </c>
      <c r="L15" s="15" t="s">
        <v>439</v>
      </c>
      <c r="M15" s="15" t="s">
        <v>440</v>
      </c>
      <c r="N15" s="15" t="s">
        <v>434</v>
      </c>
      <c r="O15" s="15" t="s">
        <v>124</v>
      </c>
      <c r="P15" s="15" t="s">
        <v>434</v>
      </c>
      <c r="Q15" s="15" t="s">
        <v>126</v>
      </c>
      <c r="R15" s="912"/>
      <c r="S15" s="912"/>
      <c r="T15" s="912"/>
      <c r="U15" s="15" t="s">
        <v>532</v>
      </c>
      <c r="V15" s="15" t="s">
        <v>534</v>
      </c>
      <c r="W15" s="1118"/>
    </row>
    <row r="16" spans="1:23" x14ac:dyDescent="0.25">
      <c r="A16" s="27"/>
      <c r="B16" s="26" t="s">
        <v>455</v>
      </c>
      <c r="C16" s="26"/>
      <c r="D16" s="26"/>
      <c r="E16" s="6"/>
      <c r="F16" s="26"/>
      <c r="G16" s="26"/>
      <c r="H16" s="6"/>
      <c r="I16" s="6"/>
      <c r="J16" s="26"/>
      <c r="K16" s="2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7"/>
    </row>
    <row r="17" spans="1:23" ht="31.5" x14ac:dyDescent="0.25">
      <c r="A17" s="27" t="s">
        <v>417</v>
      </c>
      <c r="B17" s="26" t="s">
        <v>540</v>
      </c>
      <c r="C17" s="26"/>
      <c r="D17" s="26"/>
      <c r="E17" s="26"/>
      <c r="F17" s="26"/>
      <c r="G17" s="26"/>
      <c r="H17" s="26"/>
      <c r="I17" s="26"/>
      <c r="J17" s="26"/>
      <c r="K17" s="2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7"/>
    </row>
    <row r="18" spans="1:23" ht="31.5" x14ac:dyDescent="0.25">
      <c r="A18" s="113" t="s">
        <v>418</v>
      </c>
      <c r="B18" s="26" t="s">
        <v>537</v>
      </c>
      <c r="C18" s="26"/>
      <c r="D18" s="26"/>
      <c r="E18" s="26"/>
      <c r="F18" s="26"/>
      <c r="G18" s="26"/>
      <c r="H18" s="26"/>
      <c r="I18" s="26"/>
      <c r="J18" s="26"/>
      <c r="K18" s="2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7"/>
    </row>
    <row r="19" spans="1:23" x14ac:dyDescent="0.25">
      <c r="A19" s="18">
        <v>1</v>
      </c>
      <c r="B19" s="5" t="s">
        <v>456</v>
      </c>
      <c r="C19" s="5"/>
      <c r="D19" s="5"/>
      <c r="E19" s="5"/>
      <c r="F19" s="5"/>
      <c r="G19" s="5"/>
      <c r="H19" s="5"/>
      <c r="I19" s="5"/>
      <c r="J19" s="5"/>
      <c r="K19" s="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7"/>
    </row>
    <row r="20" spans="1:23" x14ac:dyDescent="0.25">
      <c r="A20" s="18">
        <v>2</v>
      </c>
      <c r="B20" s="5" t="s">
        <v>458</v>
      </c>
      <c r="C20" s="5"/>
      <c r="D20" s="5"/>
      <c r="E20" s="5"/>
      <c r="F20" s="5"/>
      <c r="G20" s="5"/>
      <c r="H20" s="5"/>
      <c r="I20" s="5"/>
      <c r="J20" s="5"/>
      <c r="K20" s="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7"/>
    </row>
    <row r="21" spans="1:23" x14ac:dyDescent="0.25">
      <c r="A21" s="18" t="s">
        <v>457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7"/>
    </row>
    <row r="22" spans="1:23" ht="31.5" x14ac:dyDescent="0.25">
      <c r="A22" s="27" t="s">
        <v>419</v>
      </c>
      <c r="B22" s="26" t="s">
        <v>73</v>
      </c>
      <c r="C22" s="26"/>
      <c r="D22" s="5"/>
      <c r="E22" s="5"/>
      <c r="F22" s="5"/>
      <c r="G22" s="5"/>
      <c r="H22" s="5"/>
      <c r="I22" s="5"/>
      <c r="J22" s="5"/>
      <c r="K22" s="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7"/>
    </row>
    <row r="23" spans="1:23" x14ac:dyDescent="0.25">
      <c r="A23" s="18">
        <v>1</v>
      </c>
      <c r="B23" s="5" t="s">
        <v>456</v>
      </c>
      <c r="C23" s="5"/>
      <c r="D23" s="5"/>
      <c r="E23" s="5"/>
      <c r="F23" s="5"/>
      <c r="G23" s="5"/>
      <c r="H23" s="5"/>
      <c r="I23" s="5"/>
      <c r="J23" s="5"/>
      <c r="K23" s="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"/>
    </row>
    <row r="24" spans="1:23" x14ac:dyDescent="0.25">
      <c r="A24" s="18">
        <v>2</v>
      </c>
      <c r="B24" s="5" t="s">
        <v>458</v>
      </c>
      <c r="C24" s="5"/>
      <c r="D24" s="5"/>
      <c r="E24" s="5"/>
      <c r="F24" s="5"/>
      <c r="G24" s="5"/>
      <c r="H24" s="5"/>
      <c r="I24" s="5"/>
      <c r="J24" s="5"/>
      <c r="K24" s="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7"/>
    </row>
    <row r="25" spans="1:23" x14ac:dyDescent="0.25">
      <c r="A25" s="18" t="s">
        <v>457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7"/>
    </row>
    <row r="26" spans="1:23" ht="31.5" x14ac:dyDescent="0.25">
      <c r="A26" s="27" t="s">
        <v>430</v>
      </c>
      <c r="B26" s="26" t="s">
        <v>538</v>
      </c>
      <c r="C26" s="26"/>
      <c r="D26" s="5"/>
      <c r="E26" s="5"/>
      <c r="F26" s="5"/>
      <c r="G26" s="5"/>
      <c r="H26" s="5"/>
      <c r="I26" s="5"/>
      <c r="J26" s="5"/>
      <c r="K26" s="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7"/>
    </row>
    <row r="27" spans="1:23" x14ac:dyDescent="0.25">
      <c r="A27" s="18">
        <v>1</v>
      </c>
      <c r="B27" s="5" t="s">
        <v>456</v>
      </c>
      <c r="C27" s="5"/>
      <c r="D27" s="5"/>
      <c r="E27" s="5"/>
      <c r="F27" s="5"/>
      <c r="G27" s="5"/>
      <c r="H27" s="5"/>
      <c r="I27" s="5"/>
      <c r="J27" s="5"/>
      <c r="K27" s="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7"/>
    </row>
    <row r="28" spans="1:23" x14ac:dyDescent="0.25">
      <c r="A28" s="18">
        <v>2</v>
      </c>
      <c r="B28" s="5" t="s">
        <v>458</v>
      </c>
      <c r="C28" s="5"/>
      <c r="D28" s="5"/>
      <c r="E28" s="5"/>
      <c r="F28" s="5"/>
      <c r="G28" s="5"/>
      <c r="H28" s="5"/>
      <c r="I28" s="5"/>
      <c r="J28" s="5"/>
      <c r="K28" s="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7"/>
    </row>
    <row r="29" spans="1:23" x14ac:dyDescent="0.25">
      <c r="A29" s="18" t="s">
        <v>457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7"/>
    </row>
    <row r="30" spans="1:23" ht="47.25" x14ac:dyDescent="0.25">
      <c r="A30" s="27" t="s">
        <v>447</v>
      </c>
      <c r="B30" s="26" t="s">
        <v>539</v>
      </c>
      <c r="C30" s="5"/>
      <c r="D30" s="5"/>
      <c r="E30" s="5"/>
      <c r="F30" s="5"/>
      <c r="G30" s="5"/>
      <c r="H30" s="5"/>
      <c r="I30" s="5"/>
      <c r="J30" s="5"/>
      <c r="K30" s="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7"/>
    </row>
    <row r="31" spans="1:23" x14ac:dyDescent="0.25">
      <c r="A31" s="18">
        <v>1</v>
      </c>
      <c r="B31" s="5" t="s">
        <v>456</v>
      </c>
      <c r="C31" s="5"/>
      <c r="D31" s="5"/>
      <c r="E31" s="5"/>
      <c r="F31" s="5"/>
      <c r="G31" s="5"/>
      <c r="H31" s="5"/>
      <c r="I31" s="5"/>
      <c r="J31" s="5"/>
      <c r="K31" s="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7"/>
    </row>
    <row r="32" spans="1:23" x14ac:dyDescent="0.25">
      <c r="A32" s="18">
        <v>2</v>
      </c>
      <c r="B32" s="5" t="s">
        <v>458</v>
      </c>
      <c r="C32" s="5"/>
      <c r="D32" s="5"/>
      <c r="E32" s="5"/>
      <c r="F32" s="5"/>
      <c r="G32" s="5"/>
      <c r="H32" s="5"/>
      <c r="I32" s="5"/>
      <c r="J32" s="5"/>
      <c r="K32" s="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7"/>
    </row>
    <row r="33" spans="1:23" x14ac:dyDescent="0.25">
      <c r="A33" s="18" t="s">
        <v>457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7"/>
    </row>
    <row r="34" spans="1:23" x14ac:dyDescent="0.25">
      <c r="A34" s="27" t="s">
        <v>420</v>
      </c>
      <c r="B34" s="26" t="s">
        <v>469</v>
      </c>
      <c r="C34" s="26"/>
      <c r="D34" s="26"/>
      <c r="E34" s="26"/>
      <c r="F34" s="26"/>
      <c r="G34" s="26"/>
      <c r="H34" s="26"/>
      <c r="I34" s="26"/>
      <c r="J34" s="26"/>
      <c r="K34" s="2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7"/>
    </row>
    <row r="35" spans="1:23" ht="31.5" x14ac:dyDescent="0.25">
      <c r="A35" s="113" t="s">
        <v>421</v>
      </c>
      <c r="B35" s="26" t="s">
        <v>537</v>
      </c>
      <c r="C35" s="26"/>
      <c r="D35" s="26"/>
      <c r="E35" s="26"/>
      <c r="F35" s="26"/>
      <c r="G35" s="26"/>
      <c r="H35" s="26"/>
      <c r="I35" s="26"/>
      <c r="J35" s="26"/>
      <c r="K35" s="2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7"/>
    </row>
    <row r="36" spans="1:23" x14ac:dyDescent="0.25">
      <c r="A36" s="18">
        <v>1</v>
      </c>
      <c r="B36" s="5" t="s">
        <v>456</v>
      </c>
      <c r="C36" s="26"/>
      <c r="D36" s="26"/>
      <c r="E36" s="26"/>
      <c r="F36" s="26"/>
      <c r="G36" s="26"/>
      <c r="H36" s="26"/>
      <c r="I36" s="26"/>
      <c r="J36" s="26"/>
      <c r="K36" s="2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7"/>
    </row>
    <row r="37" spans="1:23" x14ac:dyDescent="0.25">
      <c r="A37" s="18">
        <v>2</v>
      </c>
      <c r="B37" s="5" t="s">
        <v>458</v>
      </c>
      <c r="C37" s="26"/>
      <c r="D37" s="26"/>
      <c r="E37" s="26"/>
      <c r="F37" s="26"/>
      <c r="G37" s="26"/>
      <c r="H37" s="26"/>
      <c r="I37" s="26"/>
      <c r="J37" s="26"/>
      <c r="K37" s="2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7"/>
    </row>
    <row r="38" spans="1:23" x14ac:dyDescent="0.25">
      <c r="A38" s="18" t="s">
        <v>457</v>
      </c>
      <c r="B38" s="5"/>
      <c r="C38" s="26"/>
      <c r="D38" s="26"/>
      <c r="E38" s="26"/>
      <c r="F38" s="26"/>
      <c r="G38" s="26"/>
      <c r="H38" s="26"/>
      <c r="I38" s="26"/>
      <c r="J38" s="26"/>
      <c r="K38" s="2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1:23" x14ac:dyDescent="0.25">
      <c r="A39" s="113" t="s">
        <v>422</v>
      </c>
      <c r="B39" s="206" t="s">
        <v>97</v>
      </c>
      <c r="C39" s="26"/>
      <c r="D39" s="26"/>
      <c r="E39" s="26"/>
      <c r="F39" s="26"/>
      <c r="G39" s="26"/>
      <c r="H39" s="26"/>
      <c r="I39" s="26"/>
      <c r="J39" s="26"/>
      <c r="K39" s="2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7"/>
    </row>
    <row r="40" spans="1:23" x14ac:dyDescent="0.25">
      <c r="A40" s="18">
        <v>1</v>
      </c>
      <c r="B40" s="5" t="s">
        <v>456</v>
      </c>
      <c r="C40" s="26"/>
      <c r="D40" s="26"/>
      <c r="E40" s="26"/>
      <c r="F40" s="26"/>
      <c r="G40" s="26"/>
      <c r="H40" s="26"/>
      <c r="I40" s="26"/>
      <c r="J40" s="26"/>
      <c r="K40" s="2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7"/>
    </row>
    <row r="41" spans="1:23" x14ac:dyDescent="0.25">
      <c r="A41" s="18"/>
      <c r="B41" s="5" t="s">
        <v>548</v>
      </c>
      <c r="C41" s="26"/>
      <c r="D41" s="26"/>
      <c r="E41" s="26"/>
      <c r="F41" s="26"/>
      <c r="G41" s="26"/>
      <c r="H41" s="26"/>
      <c r="I41" s="26"/>
      <c r="J41" s="26"/>
      <c r="K41" s="2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7"/>
    </row>
    <row r="42" spans="1:23" x14ac:dyDescent="0.25">
      <c r="A42" s="18">
        <v>2</v>
      </c>
      <c r="B42" s="5" t="s">
        <v>458</v>
      </c>
      <c r="C42" s="26"/>
      <c r="D42" s="26"/>
      <c r="E42" s="26"/>
      <c r="F42" s="26"/>
      <c r="G42" s="26"/>
      <c r="H42" s="26"/>
      <c r="I42" s="26"/>
      <c r="J42" s="26"/>
      <c r="K42" s="2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7"/>
    </row>
    <row r="43" spans="1:23" x14ac:dyDescent="0.25">
      <c r="A43" s="18"/>
      <c r="B43" s="5" t="s">
        <v>548</v>
      </c>
      <c r="C43" s="5"/>
      <c r="D43" s="5"/>
      <c r="E43" s="5"/>
      <c r="F43" s="5"/>
      <c r="G43" s="5"/>
      <c r="H43" s="5"/>
      <c r="I43" s="5"/>
      <c r="J43" s="5"/>
      <c r="K43" s="5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7"/>
    </row>
    <row r="44" spans="1:23" x14ac:dyDescent="0.25">
      <c r="A44" s="18" t="s">
        <v>457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7"/>
    </row>
    <row r="45" spans="1:23" ht="15.75" customHeight="1" x14ac:dyDescent="0.25">
      <c r="A45" s="1102" t="s">
        <v>515</v>
      </c>
      <c r="B45" s="1103"/>
      <c r="C45" s="5"/>
      <c r="D45" s="5"/>
      <c r="E45" s="5"/>
      <c r="F45" s="5"/>
      <c r="G45" s="5"/>
      <c r="H45" s="5"/>
      <c r="I45" s="5"/>
      <c r="J45" s="5"/>
      <c r="K45" s="5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7"/>
    </row>
    <row r="46" spans="1:23" ht="31.5" x14ac:dyDescent="0.25">
      <c r="A46" s="27"/>
      <c r="B46" s="26" t="s">
        <v>536</v>
      </c>
      <c r="C46" s="26"/>
      <c r="D46" s="5"/>
      <c r="E46" s="5"/>
      <c r="F46" s="5"/>
      <c r="G46" s="5"/>
      <c r="H46" s="5"/>
      <c r="I46" s="5"/>
      <c r="J46" s="5"/>
      <c r="K46" s="5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7"/>
    </row>
    <row r="47" spans="1:23" x14ac:dyDescent="0.25">
      <c r="A47" s="18">
        <v>1</v>
      </c>
      <c r="B47" s="5" t="s">
        <v>456</v>
      </c>
      <c r="C47" s="5"/>
      <c r="D47" s="5"/>
      <c r="E47" s="5"/>
      <c r="F47" s="5"/>
      <c r="G47" s="5"/>
      <c r="H47" s="5"/>
      <c r="I47" s="5"/>
      <c r="J47" s="5"/>
      <c r="K47" s="5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7"/>
    </row>
    <row r="48" spans="1:23" x14ac:dyDescent="0.25">
      <c r="A48" s="18">
        <v>2</v>
      </c>
      <c r="B48" s="5" t="s">
        <v>458</v>
      </c>
      <c r="C48" s="5"/>
      <c r="D48" s="5"/>
      <c r="E48" s="5"/>
      <c r="F48" s="5"/>
      <c r="G48" s="5"/>
      <c r="H48" s="5"/>
      <c r="I48" s="5"/>
      <c r="J48" s="5"/>
      <c r="K48" s="5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7"/>
    </row>
    <row r="49" spans="1:23" ht="16.5" thickBot="1" x14ac:dyDescent="0.3">
      <c r="A49" s="89" t="s">
        <v>457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1"/>
    </row>
    <row r="50" spans="1:23" x14ac:dyDescent="0.25">
      <c r="A50" s="87"/>
      <c r="B50" s="8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</row>
    <row r="51" spans="1:23" x14ac:dyDescent="0.25">
      <c r="A51" s="87"/>
      <c r="B51" s="88" t="s">
        <v>99</v>
      </c>
      <c r="C51" s="40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</row>
    <row r="52" spans="1:23" ht="15.75" customHeight="1" x14ac:dyDescent="0.25">
      <c r="A52" s="87"/>
      <c r="B52" s="928" t="s">
        <v>100</v>
      </c>
      <c r="C52" s="928"/>
      <c r="D52" s="928"/>
      <c r="E52" s="928"/>
      <c r="F52" s="928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</row>
    <row r="53" spans="1:23" x14ac:dyDescent="0.25">
      <c r="A53" s="28"/>
      <c r="B53" s="1" t="s">
        <v>101</v>
      </c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1:23" x14ac:dyDescent="0.25">
      <c r="A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</row>
    <row r="55" spans="1:23" ht="15.75" customHeight="1" x14ac:dyDescent="0.25">
      <c r="A55" s="28"/>
      <c r="B55" s="925" t="s">
        <v>102</v>
      </c>
      <c r="C55" s="925"/>
      <c r="D55" s="925"/>
      <c r="E55" s="925"/>
      <c r="F55" s="925"/>
      <c r="G55" s="925"/>
      <c r="H55" s="925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</row>
    <row r="56" spans="1:23" x14ac:dyDescent="0.25">
      <c r="A56" s="28"/>
      <c r="B56" s="13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  <row r="57" spans="1:23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1:23" x14ac:dyDescent="0.25">
      <c r="A58" s="14"/>
    </row>
    <row r="59" spans="1:23" x14ac:dyDescent="0.25">
      <c r="A59" s="20"/>
      <c r="C59" s="21"/>
      <c r="G59" s="22"/>
      <c r="H59" s="22"/>
      <c r="I59" s="22"/>
    </row>
    <row r="60" spans="1:23" x14ac:dyDescent="0.25">
      <c r="D60" s="24"/>
      <c r="G60" s="25"/>
      <c r="I60" s="23"/>
      <c r="J60" s="23"/>
      <c r="K60" s="23"/>
      <c r="M60" s="31"/>
      <c r="N60" s="216"/>
      <c r="O60" s="216"/>
      <c r="P60" s="216"/>
      <c r="Q60" s="216"/>
      <c r="R60" s="31"/>
      <c r="S60" s="31"/>
      <c r="T60" s="31"/>
      <c r="U60" s="31"/>
      <c r="V60" s="31"/>
      <c r="W60" s="31"/>
    </row>
    <row r="61" spans="1:23" x14ac:dyDescent="0.25">
      <c r="A61" s="17"/>
      <c r="D61" s="16"/>
      <c r="I61" s="16"/>
    </row>
  </sheetData>
  <mergeCells count="21">
    <mergeCell ref="B55:H55"/>
    <mergeCell ref="D14:E14"/>
    <mergeCell ref="F14:G14"/>
    <mergeCell ref="H14:I14"/>
    <mergeCell ref="B52:F52"/>
    <mergeCell ref="W13:W15"/>
    <mergeCell ref="A45:B45"/>
    <mergeCell ref="J14:K14"/>
    <mergeCell ref="N13:O14"/>
    <mergeCell ref="A5:W5"/>
    <mergeCell ref="A13:A15"/>
    <mergeCell ref="B13:B15"/>
    <mergeCell ref="C13:C15"/>
    <mergeCell ref="D13:M13"/>
    <mergeCell ref="U14:V14"/>
    <mergeCell ref="S14:S15"/>
    <mergeCell ref="P13:Q14"/>
    <mergeCell ref="R13:R15"/>
    <mergeCell ref="S13:V13"/>
    <mergeCell ref="T14:T15"/>
    <mergeCell ref="L14:M14"/>
  </mergeCells>
  <phoneticPr fontId="0" type="noConversion"/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86"/>
  <sheetViews>
    <sheetView workbookViewId="0">
      <pane xSplit="18810" topLeftCell="L1"/>
      <selection activeCell="D29" sqref="D29"/>
      <selection pane="topRight" activeCell="L1" sqref="L1"/>
    </sheetView>
  </sheetViews>
  <sheetFormatPr defaultColWidth="9" defaultRowHeight="15.75" outlineLevelRow="1" x14ac:dyDescent="0.25"/>
  <cols>
    <col min="1" max="1" width="54" style="84" customWidth="1"/>
    <col min="2" max="2" width="12" style="84" customWidth="1"/>
    <col min="3" max="3" width="16.25" style="84" customWidth="1"/>
    <col min="4" max="4" width="14.25" style="84" customWidth="1"/>
    <col min="5" max="5" width="15.5" style="84" customWidth="1"/>
    <col min="6" max="6" width="20.25" style="84" customWidth="1"/>
    <col min="7" max="11" width="5.875" style="84" hidden="1" customWidth="1"/>
    <col min="12" max="12" width="24.875" style="84" customWidth="1"/>
    <col min="13" max="13" width="12.625" style="84" bestFit="1" customWidth="1"/>
    <col min="14" max="16384" width="9" style="84"/>
  </cols>
  <sheetData>
    <row r="1" spans="1:16" s="433" customFormat="1" ht="11.25" x14ac:dyDescent="0.25">
      <c r="L1" s="431" t="s">
        <v>388</v>
      </c>
    </row>
    <row r="2" spans="1:16" s="433" customFormat="1" ht="11.25" x14ac:dyDescent="0.25">
      <c r="L2" s="431" t="s">
        <v>91</v>
      </c>
    </row>
    <row r="3" spans="1:16" s="433" customFormat="1" ht="11.25" x14ac:dyDescent="0.25">
      <c r="L3" s="431" t="s">
        <v>409</v>
      </c>
    </row>
    <row r="4" spans="1:16" s="433" customFormat="1" ht="11.25" x14ac:dyDescent="0.25">
      <c r="L4" s="432" t="s">
        <v>410</v>
      </c>
    </row>
    <row r="5" spans="1:16" s="433" customFormat="1" ht="11.25" x14ac:dyDescent="0.25">
      <c r="L5" s="432"/>
    </row>
    <row r="6" spans="1:16" s="435" customFormat="1" ht="15" x14ac:dyDescent="0.25">
      <c r="A6" s="434"/>
      <c r="B6" s="434"/>
      <c r="F6" s="932" t="s">
        <v>92</v>
      </c>
      <c r="G6" s="932"/>
      <c r="H6" s="932"/>
      <c r="I6" s="932"/>
      <c r="J6" s="932"/>
      <c r="K6" s="932"/>
      <c r="L6" s="932"/>
    </row>
    <row r="7" spans="1:16" s="435" customFormat="1" ht="15" x14ac:dyDescent="0.25">
      <c r="A7" s="434"/>
      <c r="B7" s="434"/>
      <c r="F7" s="933" t="s">
        <v>400</v>
      </c>
      <c r="G7" s="933"/>
      <c r="H7" s="933"/>
      <c r="I7" s="933"/>
      <c r="J7" s="933"/>
      <c r="K7" s="933"/>
      <c r="L7" s="933"/>
    </row>
    <row r="8" spans="1:16" s="435" customFormat="1" ht="19.5" customHeight="1" x14ac:dyDescent="0.25">
      <c r="A8" s="434"/>
      <c r="B8" s="434"/>
      <c r="F8" s="439"/>
      <c r="G8" s="438"/>
      <c r="H8" s="438"/>
      <c r="I8" s="438"/>
      <c r="J8" s="438"/>
      <c r="K8" s="438"/>
      <c r="L8" s="438" t="s">
        <v>411</v>
      </c>
    </row>
    <row r="9" spans="1:16" s="435" customFormat="1" ht="15" x14ac:dyDescent="0.25">
      <c r="A9" s="434"/>
      <c r="B9" s="434"/>
      <c r="F9" s="440"/>
      <c r="G9" s="440"/>
      <c r="H9" s="440"/>
      <c r="I9" s="438" t="s">
        <v>415</v>
      </c>
      <c r="J9" s="438" t="s">
        <v>415</v>
      </c>
      <c r="K9" s="439"/>
      <c r="L9" s="438" t="s">
        <v>402</v>
      </c>
    </row>
    <row r="10" spans="1:16" s="435" customFormat="1" ht="12.75" x14ac:dyDescent="0.2">
      <c r="A10" s="434"/>
      <c r="B10" s="434"/>
      <c r="E10" s="436"/>
    </row>
    <row r="11" spans="1:16" s="467" customFormat="1" ht="18.75" x14ac:dyDescent="0.25">
      <c r="A11" s="930" t="s">
        <v>397</v>
      </c>
      <c r="B11" s="930"/>
      <c r="C11" s="930"/>
      <c r="D11" s="930"/>
      <c r="E11" s="930"/>
      <c r="F11" s="930"/>
      <c r="G11" s="930"/>
      <c r="H11" s="930"/>
      <c r="I11" s="930"/>
      <c r="J11" s="930"/>
      <c r="K11" s="930"/>
      <c r="L11" s="930"/>
    </row>
    <row r="12" spans="1:16" s="467" customFormat="1" ht="18.75" x14ac:dyDescent="0.25">
      <c r="A12" s="931"/>
      <c r="B12" s="931"/>
      <c r="C12" s="931"/>
      <c r="D12" s="931"/>
      <c r="E12" s="931"/>
      <c r="F12" s="931"/>
      <c r="G12" s="931"/>
      <c r="H12" s="931"/>
      <c r="I12" s="931"/>
      <c r="J12" s="931"/>
      <c r="K12" s="931"/>
      <c r="L12" s="931"/>
      <c r="P12" s="422"/>
    </row>
    <row r="13" spans="1:16" ht="16.5" thickBot="1" x14ac:dyDescent="0.3">
      <c r="A13" s="309" t="s">
        <v>333</v>
      </c>
      <c r="B13" s="309"/>
      <c r="C13" s="309" t="s">
        <v>334</v>
      </c>
      <c r="E13" s="311"/>
      <c r="F13" s="312"/>
      <c r="G13" s="312"/>
      <c r="H13" s="312"/>
      <c r="I13" s="312"/>
    </row>
    <row r="14" spans="1:16" x14ac:dyDescent="0.25">
      <c r="A14" s="405" t="s">
        <v>335</v>
      </c>
      <c r="B14" s="405"/>
      <c r="C14" s="341"/>
    </row>
    <row r="15" spans="1:16" x14ac:dyDescent="0.25">
      <c r="A15" s="406" t="s">
        <v>336</v>
      </c>
      <c r="B15" s="406"/>
      <c r="C15" s="351">
        <v>0</v>
      </c>
    </row>
    <row r="16" spans="1:16" x14ac:dyDescent="0.25">
      <c r="A16" s="406" t="s">
        <v>337</v>
      </c>
      <c r="B16" s="406"/>
      <c r="C16" s="468"/>
      <c r="E16" s="310" t="s">
        <v>241</v>
      </c>
    </row>
    <row r="17" spans="1:15" ht="16.5" thickBot="1" x14ac:dyDescent="0.3">
      <c r="A17" s="350" t="s">
        <v>338</v>
      </c>
      <c r="B17" s="350"/>
      <c r="C17" s="392"/>
      <c r="E17" s="929" t="s">
        <v>339</v>
      </c>
      <c r="F17" s="929"/>
      <c r="G17" s="315"/>
      <c r="H17" s="316">
        <f>SUM(C79:L79)</f>
        <v>0</v>
      </c>
      <c r="L17" s="409"/>
      <c r="O17" s="317"/>
    </row>
    <row r="18" spans="1:15" x14ac:dyDescent="0.25">
      <c r="A18" s="407" t="s">
        <v>340</v>
      </c>
      <c r="B18" s="407"/>
      <c r="C18" s="391">
        <v>0</v>
      </c>
      <c r="E18" s="929" t="s">
        <v>341</v>
      </c>
      <c r="F18" s="929"/>
      <c r="G18" s="315"/>
      <c r="H18" s="316" t="str">
        <f>IF(SUM(C80:L80)=0,"не окупается",SUM(C80:L80))</f>
        <v>не окупается</v>
      </c>
      <c r="L18" s="315"/>
    </row>
    <row r="19" spans="1:15" x14ac:dyDescent="0.25">
      <c r="A19" s="383" t="s">
        <v>342</v>
      </c>
      <c r="B19" s="383"/>
      <c r="C19" s="354">
        <v>0</v>
      </c>
      <c r="E19" s="929" t="s">
        <v>343</v>
      </c>
      <c r="F19" s="929"/>
      <c r="G19" s="315"/>
      <c r="H19" s="318">
        <f>L77</f>
        <v>0</v>
      </c>
      <c r="L19" s="410"/>
    </row>
    <row r="20" spans="1:15" x14ac:dyDescent="0.25">
      <c r="A20" s="383" t="s">
        <v>344</v>
      </c>
      <c r="B20" s="383"/>
      <c r="C20" s="354">
        <v>0</v>
      </c>
      <c r="E20" s="929" t="s">
        <v>345</v>
      </c>
      <c r="F20" s="929"/>
      <c r="G20" s="315"/>
      <c r="H20" s="319" t="str">
        <f>IF(H19&gt;0,"да","нет")</f>
        <v>нет</v>
      </c>
      <c r="L20" s="315"/>
    </row>
    <row r="21" spans="1:15" x14ac:dyDescent="0.25">
      <c r="A21" s="383" t="s">
        <v>346</v>
      </c>
      <c r="B21" s="383"/>
      <c r="C21" s="404">
        <f>-SUM(C51:E51)</f>
        <v>0</v>
      </c>
    </row>
    <row r="22" spans="1:15" x14ac:dyDescent="0.25">
      <c r="A22" s="383" t="s">
        <v>347</v>
      </c>
      <c r="B22" s="383"/>
      <c r="C22" s="354">
        <v>1</v>
      </c>
    </row>
    <row r="23" spans="1:15" x14ac:dyDescent="0.25">
      <c r="A23" s="383" t="s">
        <v>348</v>
      </c>
      <c r="B23" s="383"/>
      <c r="C23" s="354">
        <v>1</v>
      </c>
    </row>
    <row r="24" spans="1:15" x14ac:dyDescent="0.25">
      <c r="A24" s="386" t="s">
        <v>289</v>
      </c>
      <c r="B24" s="386"/>
      <c r="C24" s="352">
        <v>0</v>
      </c>
    </row>
    <row r="25" spans="1:15" ht="16.5" thickBot="1" x14ac:dyDescent="0.3">
      <c r="A25" s="384" t="s">
        <v>502</v>
      </c>
      <c r="B25" s="384"/>
      <c r="C25" s="353"/>
    </row>
    <row r="26" spans="1:15" x14ac:dyDescent="0.25">
      <c r="A26" s="387" t="s">
        <v>289</v>
      </c>
      <c r="B26" s="414"/>
      <c r="C26" s="313">
        <v>0</v>
      </c>
    </row>
    <row r="27" spans="1:15" x14ac:dyDescent="0.25">
      <c r="A27" s="388" t="s">
        <v>349</v>
      </c>
      <c r="B27" s="415"/>
      <c r="C27" s="314">
        <v>0</v>
      </c>
    </row>
    <row r="28" spans="1:15" ht="16.5" thickBot="1" x14ac:dyDescent="0.3">
      <c r="A28" s="389" t="s">
        <v>350</v>
      </c>
      <c r="B28" s="416"/>
      <c r="C28" s="320">
        <v>0</v>
      </c>
    </row>
    <row r="29" spans="1:15" x14ac:dyDescent="0.25">
      <c r="A29" s="385" t="s">
        <v>351</v>
      </c>
      <c r="B29" s="385"/>
      <c r="C29" s="341"/>
    </row>
    <row r="30" spans="1:15" x14ac:dyDescent="0.25">
      <c r="A30" s="383" t="s">
        <v>352</v>
      </c>
      <c r="B30" s="407"/>
      <c r="C30" s="342"/>
    </row>
    <row r="31" spans="1:15" x14ac:dyDescent="0.25">
      <c r="A31" s="383" t="s">
        <v>353</v>
      </c>
      <c r="B31" s="383"/>
      <c r="C31" s="343"/>
    </row>
    <row r="32" spans="1:15" x14ac:dyDescent="0.25">
      <c r="A32" s="383" t="s">
        <v>354</v>
      </c>
      <c r="B32" s="383"/>
      <c r="C32" s="343"/>
    </row>
    <row r="33" spans="1:24" x14ac:dyDescent="0.25">
      <c r="A33" s="383" t="s">
        <v>355</v>
      </c>
      <c r="B33" s="383"/>
      <c r="C33" s="408"/>
    </row>
    <row r="34" spans="1:24" x14ac:dyDescent="0.25">
      <c r="A34" s="383" t="s">
        <v>356</v>
      </c>
      <c r="B34" s="383"/>
      <c r="C34" s="343"/>
    </row>
    <row r="35" spans="1:24" ht="16.5" thickBot="1" x14ac:dyDescent="0.3">
      <c r="A35" s="386" t="s">
        <v>357</v>
      </c>
      <c r="B35" s="386"/>
      <c r="C35" s="344"/>
    </row>
    <row r="36" spans="1:24" x14ac:dyDescent="0.25">
      <c r="A36" s="321" t="s">
        <v>358</v>
      </c>
      <c r="B36" s="417"/>
      <c r="C36" s="307">
        <v>2014</v>
      </c>
      <c r="D36" s="308">
        <v>2015</v>
      </c>
      <c r="E36" s="369">
        <v>2016</v>
      </c>
      <c r="F36" s="266"/>
      <c r="G36" s="356"/>
      <c r="H36" s="266"/>
      <c r="I36" s="356"/>
      <c r="J36" s="266"/>
      <c r="K36" s="356"/>
      <c r="L36" s="87"/>
    </row>
    <row r="37" spans="1:24" outlineLevel="1" x14ac:dyDescent="0.25">
      <c r="A37" s="322" t="s">
        <v>359</v>
      </c>
      <c r="B37" s="418"/>
      <c r="C37" s="355"/>
      <c r="D37" s="355"/>
      <c r="E37" s="370"/>
      <c r="F37" s="357"/>
      <c r="G37" s="357"/>
      <c r="H37" s="357"/>
      <c r="I37" s="357"/>
      <c r="J37" s="357"/>
      <c r="K37" s="357"/>
      <c r="L37" s="357"/>
    </row>
    <row r="38" spans="1:24" outlineLevel="1" x14ac:dyDescent="0.25">
      <c r="A38" s="322" t="s">
        <v>360</v>
      </c>
      <c r="B38" s="418"/>
      <c r="C38" s="355"/>
      <c r="D38" s="355"/>
      <c r="E38" s="370"/>
      <c r="F38" s="357"/>
      <c r="G38" s="357"/>
      <c r="H38" s="357"/>
      <c r="I38" s="357"/>
      <c r="J38" s="357"/>
      <c r="K38" s="357"/>
      <c r="L38" s="357"/>
    </row>
    <row r="39" spans="1:24" s="310" customFormat="1" ht="16.5" thickBot="1" x14ac:dyDescent="0.3">
      <c r="A39" s="323" t="s">
        <v>361</v>
      </c>
      <c r="B39" s="419"/>
      <c r="C39" s="469"/>
      <c r="D39" s="469"/>
      <c r="E39" s="469"/>
      <c r="F39" s="358"/>
      <c r="G39" s="358"/>
      <c r="H39" s="358"/>
      <c r="I39" s="358"/>
      <c r="J39" s="358"/>
      <c r="K39" s="358"/>
      <c r="L39" s="358"/>
    </row>
    <row r="40" spans="1:24" ht="16.5" thickBot="1" x14ac:dyDescent="0.3">
      <c r="A40" s="371"/>
      <c r="B40" s="329"/>
      <c r="C40" s="329"/>
      <c r="D40" s="329"/>
      <c r="E40" s="372"/>
      <c r="F40" s="329"/>
      <c r="G40" s="329"/>
      <c r="H40" s="329"/>
      <c r="I40" s="329"/>
      <c r="J40" s="329"/>
      <c r="K40" s="329"/>
      <c r="L40" s="329"/>
    </row>
    <row r="41" spans="1:24" x14ac:dyDescent="0.25">
      <c r="A41" s="324" t="s">
        <v>362</v>
      </c>
      <c r="B41" s="307">
        <v>2013</v>
      </c>
      <c r="C41" s="307">
        <v>2014</v>
      </c>
      <c r="D41" s="308">
        <v>2015</v>
      </c>
      <c r="E41" s="369">
        <v>2016</v>
      </c>
      <c r="F41" s="266"/>
      <c r="G41" s="356"/>
      <c r="H41" s="266"/>
      <c r="I41" s="356"/>
      <c r="J41" s="266"/>
      <c r="K41" s="356"/>
      <c r="L41" s="87"/>
      <c r="M41" s="325"/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</row>
    <row r="42" spans="1:24" x14ac:dyDescent="0.25">
      <c r="A42" s="326" t="s">
        <v>363</v>
      </c>
      <c r="B42" s="421"/>
      <c r="C42" s="345">
        <f>B43</f>
        <v>0</v>
      </c>
      <c r="D42" s="345">
        <f>C42+C43-C44</f>
        <v>0</v>
      </c>
      <c r="E42" s="373">
        <f>D42+D43-D44</f>
        <v>0</v>
      </c>
      <c r="F42" s="359"/>
      <c r="G42" s="359"/>
      <c r="H42" s="359"/>
      <c r="I42" s="359"/>
      <c r="J42" s="359"/>
      <c r="K42" s="359"/>
      <c r="L42" s="359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</row>
    <row r="43" spans="1:24" x14ac:dyDescent="0.25">
      <c r="A43" s="326" t="s">
        <v>364</v>
      </c>
      <c r="B43" s="345">
        <f>C14</f>
        <v>0</v>
      </c>
      <c r="C43" s="345">
        <v>0</v>
      </c>
      <c r="D43" s="345">
        <v>0</v>
      </c>
      <c r="E43" s="373">
        <v>0</v>
      </c>
      <c r="F43" s="359"/>
      <c r="G43" s="359"/>
      <c r="H43" s="359"/>
      <c r="I43" s="359"/>
      <c r="J43" s="359"/>
      <c r="K43" s="359"/>
      <c r="L43" s="359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</row>
    <row r="44" spans="1:24" x14ac:dyDescent="0.25">
      <c r="A44" s="322" t="s">
        <v>365</v>
      </c>
      <c r="B44" s="418"/>
      <c r="C44" s="345">
        <f>B43/3</f>
        <v>0</v>
      </c>
      <c r="D44" s="345">
        <f>IF(ROUND(D42,1)=0,0,C44+D43/$C$29)</f>
        <v>0</v>
      </c>
      <c r="E44" s="373">
        <f>IF(ROUND(E42,1)=0,0,D44+E43/$C$29)</f>
        <v>0</v>
      </c>
      <c r="F44" s="359"/>
      <c r="G44" s="359"/>
      <c r="H44" s="359"/>
      <c r="I44" s="359"/>
      <c r="J44" s="359"/>
      <c r="K44" s="359"/>
      <c r="L44" s="359">
        <f>C44/0.8</f>
        <v>0</v>
      </c>
      <c r="M44" s="359">
        <f>D44/0.8</f>
        <v>0</v>
      </c>
      <c r="N44" s="359">
        <f>E44/0.8</f>
        <v>0</v>
      </c>
      <c r="O44" s="325"/>
      <c r="P44" s="325"/>
      <c r="Q44" s="325"/>
      <c r="R44" s="325"/>
      <c r="S44" s="325"/>
      <c r="T44" s="325"/>
      <c r="U44" s="325"/>
      <c r="V44" s="325"/>
      <c r="W44" s="325"/>
      <c r="X44" s="325"/>
    </row>
    <row r="45" spans="1:24" ht="16.5" thickBot="1" x14ac:dyDescent="0.3">
      <c r="A45" s="323" t="s">
        <v>366</v>
      </c>
      <c r="B45" s="419"/>
      <c r="C45" s="346">
        <f>B43*$C$30</f>
        <v>0</v>
      </c>
      <c r="D45" s="346">
        <f>(B43-C44)*C30</f>
        <v>0</v>
      </c>
      <c r="E45" s="374">
        <f>(B43-C44-D44)*$C$30</f>
        <v>0</v>
      </c>
      <c r="F45" s="359"/>
      <c r="G45" s="359"/>
      <c r="H45" s="359"/>
      <c r="I45" s="359"/>
      <c r="J45" s="359"/>
      <c r="K45" s="359"/>
      <c r="L45" s="359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</row>
    <row r="46" spans="1:24" ht="16.5" thickBot="1" x14ac:dyDescent="0.3">
      <c r="A46" s="375"/>
      <c r="B46" s="422"/>
      <c r="C46" s="327"/>
      <c r="D46" s="327"/>
      <c r="E46" s="376"/>
      <c r="F46" s="327"/>
      <c r="G46" s="327"/>
      <c r="H46" s="327"/>
      <c r="I46" s="327"/>
      <c r="J46" s="327"/>
      <c r="K46" s="327"/>
      <c r="L46" s="327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</row>
    <row r="47" spans="1:24" s="329" customFormat="1" x14ac:dyDescent="0.25">
      <c r="A47" s="324" t="s">
        <v>367</v>
      </c>
      <c r="B47" s="420"/>
      <c r="C47" s="307">
        <v>2014</v>
      </c>
      <c r="D47" s="308">
        <v>2015</v>
      </c>
      <c r="E47" s="369">
        <v>2016</v>
      </c>
      <c r="F47" s="266"/>
      <c r="G47" s="360"/>
      <c r="H47" s="360"/>
      <c r="I47" s="360"/>
      <c r="J47" s="360"/>
      <c r="K47" s="360"/>
      <c r="L47" s="361"/>
    </row>
    <row r="48" spans="1:24" s="310" customFormat="1" ht="14.25" x14ac:dyDescent="0.25">
      <c r="A48" s="330" t="s">
        <v>368</v>
      </c>
      <c r="B48" s="423"/>
      <c r="C48" s="347">
        <f>C39*$C$17</f>
        <v>0</v>
      </c>
      <c r="D48" s="347">
        <f>D39*$C$17</f>
        <v>0</v>
      </c>
      <c r="E48" s="379">
        <f>E39*$C$17</f>
        <v>0</v>
      </c>
      <c r="F48" s="362"/>
      <c r="G48" s="362"/>
      <c r="H48" s="362"/>
      <c r="I48" s="362"/>
      <c r="J48" s="362"/>
      <c r="K48" s="362"/>
      <c r="L48" s="362"/>
    </row>
    <row r="49" spans="1:24" x14ac:dyDescent="0.25">
      <c r="A49" s="326" t="s">
        <v>369</v>
      </c>
      <c r="B49" s="421"/>
      <c r="C49" s="348"/>
      <c r="D49" s="348"/>
      <c r="E49" s="348"/>
      <c r="F49" s="363"/>
      <c r="G49" s="363"/>
      <c r="H49" s="363"/>
      <c r="I49" s="363"/>
      <c r="J49" s="363"/>
      <c r="K49" s="363"/>
      <c r="L49" s="363"/>
    </row>
    <row r="50" spans="1:24" x14ac:dyDescent="0.25">
      <c r="A50" s="331" t="s">
        <v>370</v>
      </c>
      <c r="B50" s="424"/>
      <c r="C50" s="348"/>
      <c r="D50" s="348"/>
      <c r="E50" s="380"/>
      <c r="F50" s="363"/>
      <c r="G50" s="363"/>
      <c r="H50" s="363"/>
      <c r="I50" s="363"/>
      <c r="J50" s="363"/>
      <c r="K50" s="363"/>
      <c r="L50" s="363"/>
    </row>
    <row r="51" spans="1:24" x14ac:dyDescent="0.25">
      <c r="A51" s="331" t="str">
        <f>A21</f>
        <v>Прочие расходы при эксплуатации объекта, руб. без НДС</v>
      </c>
      <c r="B51" s="424"/>
      <c r="C51" s="348"/>
      <c r="D51" s="348"/>
      <c r="E51" s="380"/>
      <c r="F51" s="363"/>
      <c r="G51" s="363"/>
      <c r="H51" s="363"/>
      <c r="I51" s="363"/>
      <c r="J51" s="363"/>
      <c r="K51" s="363"/>
      <c r="L51" s="363"/>
    </row>
    <row r="52" spans="1:24" x14ac:dyDescent="0.25">
      <c r="A52" s="331" t="s">
        <v>289</v>
      </c>
      <c r="B52" s="424"/>
      <c r="C52" s="348">
        <f>-IF(C$36&lt;=$C$19,0,$C$24*(1+C$38)*$C$17)</f>
        <v>0</v>
      </c>
      <c r="D52" s="348">
        <f>-IF(D$36&lt;=$C$19,0,$C$24*(1+D$38)*$C$17)</f>
        <v>0</v>
      </c>
      <c r="E52" s="380">
        <f>-IF(E$36&lt;=$C$19,0,$C$24*(1+E$38)*$C$17)</f>
        <v>0</v>
      </c>
      <c r="F52" s="363"/>
      <c r="G52" s="363"/>
      <c r="H52" s="363"/>
      <c r="I52" s="363"/>
      <c r="J52" s="363"/>
      <c r="K52" s="363"/>
      <c r="L52" s="363"/>
    </row>
    <row r="53" spans="1:24" x14ac:dyDescent="0.25">
      <c r="A53" s="331" t="s">
        <v>289</v>
      </c>
      <c r="B53" s="424"/>
      <c r="C53" s="348">
        <f>-$C$26*(1+C$38)*$C$17*365</f>
        <v>0</v>
      </c>
      <c r="D53" s="348">
        <f>-$C$26*(1+D$38)*$C$17*365</f>
        <v>0</v>
      </c>
      <c r="E53" s="380">
        <f>-$C$26*(1+E$38)*$C$17*365</f>
        <v>0</v>
      </c>
      <c r="F53" s="363"/>
      <c r="G53" s="363"/>
      <c r="H53" s="363"/>
      <c r="I53" s="363"/>
      <c r="J53" s="363"/>
      <c r="K53" s="363"/>
      <c r="L53" s="363"/>
    </row>
    <row r="54" spans="1:24" x14ac:dyDescent="0.25">
      <c r="A54" s="331" t="s">
        <v>289</v>
      </c>
      <c r="B54" s="424"/>
      <c r="C54" s="348">
        <f>-$C$27*(1+C$38)*12</f>
        <v>0</v>
      </c>
      <c r="D54" s="348">
        <f>-$C$27*(1+D$38)*12</f>
        <v>0</v>
      </c>
      <c r="E54" s="380">
        <f>-$C$27*(1+E$38)*12</f>
        <v>0</v>
      </c>
      <c r="F54" s="363"/>
      <c r="G54" s="363"/>
      <c r="H54" s="363"/>
      <c r="I54" s="363"/>
      <c r="J54" s="363"/>
      <c r="K54" s="363"/>
      <c r="L54" s="363"/>
    </row>
    <row r="55" spans="1:24" x14ac:dyDescent="0.25">
      <c r="A55" s="331" t="s">
        <v>371</v>
      </c>
      <c r="B55" s="424"/>
      <c r="C55" s="348">
        <f>-((C14/12*5)+(C14/12*5+C57))/2*2.2%</f>
        <v>0</v>
      </c>
      <c r="D55" s="348"/>
      <c r="E55" s="380"/>
      <c r="F55" s="363"/>
      <c r="G55" s="363"/>
      <c r="H55" s="363"/>
      <c r="I55" s="363"/>
      <c r="J55" s="363"/>
      <c r="K55" s="363"/>
      <c r="L55" s="363">
        <f>C14+C57+D57</f>
        <v>0</v>
      </c>
    </row>
    <row r="56" spans="1:24" s="310" customFormat="1" ht="14.25" x14ac:dyDescent="0.25">
      <c r="A56" s="332" t="s">
        <v>516</v>
      </c>
      <c r="B56" s="425"/>
      <c r="C56" s="347"/>
      <c r="D56" s="347"/>
      <c r="E56" s="379"/>
      <c r="F56" s="362"/>
      <c r="G56" s="362"/>
      <c r="H56" s="362"/>
      <c r="I56" s="362"/>
      <c r="J56" s="362"/>
      <c r="K56" s="362"/>
      <c r="L56" s="362">
        <f>L55+E57</f>
        <v>0</v>
      </c>
    </row>
    <row r="57" spans="1:24" x14ac:dyDescent="0.25">
      <c r="A57" s="331" t="s">
        <v>445</v>
      </c>
      <c r="B57" s="424"/>
      <c r="C57" s="348"/>
      <c r="D57" s="348"/>
      <c r="E57" s="380"/>
      <c r="F57" s="363"/>
      <c r="G57" s="363"/>
      <c r="H57" s="363"/>
      <c r="I57" s="363"/>
      <c r="J57" s="363"/>
      <c r="K57" s="363"/>
      <c r="L57" s="363">
        <f>(L55+L56)/2*2.2%</f>
        <v>0</v>
      </c>
    </row>
    <row r="58" spans="1:24" s="310" customFormat="1" ht="14.25" x14ac:dyDescent="0.25">
      <c r="A58" s="332" t="s">
        <v>372</v>
      </c>
      <c r="B58" s="425"/>
      <c r="C58" s="347"/>
      <c r="D58" s="347"/>
      <c r="E58" s="379"/>
      <c r="F58" s="362"/>
      <c r="G58" s="362"/>
      <c r="H58" s="362"/>
      <c r="I58" s="362"/>
      <c r="J58" s="362"/>
      <c r="K58" s="362"/>
      <c r="L58" s="362"/>
    </row>
    <row r="59" spans="1:24" x14ac:dyDescent="0.25">
      <c r="A59" s="331" t="s">
        <v>373</v>
      </c>
      <c r="B59" s="424"/>
      <c r="C59" s="348"/>
      <c r="D59" s="348"/>
      <c r="E59" s="380"/>
      <c r="F59" s="363"/>
      <c r="G59" s="363"/>
      <c r="H59" s="363"/>
      <c r="I59" s="363"/>
      <c r="J59" s="363"/>
      <c r="K59" s="363"/>
      <c r="L59" s="363"/>
    </row>
    <row r="60" spans="1:24" s="310" customFormat="1" ht="14.25" x14ac:dyDescent="0.25">
      <c r="A60" s="332" t="s">
        <v>374</v>
      </c>
      <c r="B60" s="425"/>
      <c r="C60" s="347"/>
      <c r="D60" s="347"/>
      <c r="E60" s="379"/>
      <c r="F60" s="362"/>
      <c r="G60" s="362"/>
      <c r="H60" s="362"/>
      <c r="I60" s="362"/>
      <c r="J60" s="362"/>
      <c r="K60" s="362"/>
      <c r="L60" s="362"/>
    </row>
    <row r="61" spans="1:24" x14ac:dyDescent="0.25">
      <c r="A61" s="331" t="s">
        <v>502</v>
      </c>
      <c r="B61" s="424"/>
      <c r="C61" s="348"/>
      <c r="D61" s="348"/>
      <c r="E61" s="380"/>
      <c r="F61" s="363"/>
      <c r="G61" s="363"/>
      <c r="H61" s="363"/>
      <c r="I61" s="363"/>
      <c r="J61" s="363"/>
      <c r="K61" s="363"/>
      <c r="L61" s="363"/>
    </row>
    <row r="62" spans="1:24" ht="16.5" thickBot="1" x14ac:dyDescent="0.3">
      <c r="A62" s="333" t="s">
        <v>234</v>
      </c>
      <c r="B62" s="426"/>
      <c r="C62" s="349"/>
      <c r="D62" s="349"/>
      <c r="E62" s="381"/>
      <c r="F62" s="362"/>
      <c r="G62" s="362"/>
      <c r="H62" s="362"/>
      <c r="I62" s="362"/>
      <c r="J62" s="362"/>
      <c r="K62" s="362"/>
      <c r="L62" s="362"/>
    </row>
    <row r="63" spans="1:24" ht="16.5" thickBot="1" x14ac:dyDescent="0.3">
      <c r="A63" s="371"/>
      <c r="B63" s="329"/>
      <c r="C63" s="334">
        <v>0.5</v>
      </c>
      <c r="D63" s="334"/>
      <c r="E63" s="378"/>
      <c r="F63" s="334"/>
      <c r="G63" s="334"/>
      <c r="H63" s="334"/>
      <c r="I63" s="334"/>
      <c r="J63" s="334"/>
      <c r="K63" s="334"/>
      <c r="L63" s="334"/>
      <c r="M63" s="325"/>
      <c r="N63" s="325"/>
      <c r="O63" s="325"/>
      <c r="P63" s="325"/>
      <c r="Q63" s="325"/>
      <c r="R63" s="325"/>
      <c r="S63" s="325"/>
      <c r="T63" s="325"/>
      <c r="U63" s="325"/>
      <c r="V63" s="325"/>
      <c r="W63" s="325"/>
      <c r="X63" s="325"/>
    </row>
    <row r="64" spans="1:24" x14ac:dyDescent="0.25">
      <c r="A64" s="324" t="s">
        <v>375</v>
      </c>
      <c r="B64" s="420"/>
      <c r="C64" s="328">
        <f>C47</f>
        <v>2014</v>
      </c>
      <c r="D64" s="328">
        <f>D47</f>
        <v>2015</v>
      </c>
      <c r="E64" s="377">
        <f>E47</f>
        <v>2016</v>
      </c>
      <c r="F64" s="382"/>
      <c r="G64" s="360"/>
      <c r="H64" s="360"/>
      <c r="I64" s="360"/>
      <c r="J64" s="360"/>
      <c r="K64" s="360"/>
      <c r="L64" s="361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</row>
    <row r="65" spans="1:24" s="310" customFormat="1" ht="14.25" x14ac:dyDescent="0.25">
      <c r="A65" s="330" t="s">
        <v>372</v>
      </c>
      <c r="B65" s="423"/>
      <c r="C65" s="347">
        <f>C58</f>
        <v>0</v>
      </c>
      <c r="D65" s="347">
        <f>D58</f>
        <v>0</v>
      </c>
      <c r="E65" s="379">
        <f>E58</f>
        <v>0</v>
      </c>
      <c r="F65" s="362"/>
      <c r="G65" s="362"/>
      <c r="H65" s="362"/>
      <c r="I65" s="362"/>
      <c r="J65" s="362"/>
      <c r="K65" s="362"/>
      <c r="L65" s="362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</row>
    <row r="66" spans="1:24" x14ac:dyDescent="0.25">
      <c r="A66" s="331" t="s">
        <v>445</v>
      </c>
      <c r="B66" s="424"/>
      <c r="C66" s="348">
        <f>-C57</f>
        <v>0</v>
      </c>
      <c r="D66" s="348">
        <f>-D57</f>
        <v>0</v>
      </c>
      <c r="E66" s="380">
        <f>-E57</f>
        <v>0</v>
      </c>
      <c r="F66" s="363"/>
      <c r="G66" s="363"/>
      <c r="H66" s="363"/>
      <c r="I66" s="363"/>
      <c r="J66" s="363"/>
      <c r="K66" s="363"/>
      <c r="L66" s="363"/>
      <c r="M66" s="325"/>
      <c r="N66" s="325"/>
      <c r="O66" s="325"/>
      <c r="P66" s="325"/>
      <c r="Q66" s="325"/>
      <c r="R66" s="325"/>
      <c r="S66" s="325"/>
      <c r="T66" s="325"/>
      <c r="U66" s="325"/>
      <c r="V66" s="325"/>
      <c r="W66" s="325"/>
      <c r="X66" s="325"/>
    </row>
    <row r="67" spans="1:24" x14ac:dyDescent="0.25">
      <c r="A67" s="331" t="s">
        <v>373</v>
      </c>
      <c r="B67" s="424"/>
      <c r="C67" s="348">
        <f>C59</f>
        <v>0</v>
      </c>
      <c r="D67" s="348">
        <f>D59</f>
        <v>0</v>
      </c>
      <c r="E67" s="380">
        <f>E59</f>
        <v>0</v>
      </c>
      <c r="F67" s="363"/>
      <c r="G67" s="363"/>
      <c r="H67" s="363"/>
      <c r="I67" s="363"/>
      <c r="J67" s="363"/>
      <c r="K67" s="363"/>
      <c r="L67" s="363"/>
      <c r="M67" s="325"/>
      <c r="N67" s="325"/>
      <c r="O67" s="325"/>
      <c r="P67" s="325"/>
      <c r="Q67" s="325"/>
      <c r="R67" s="325"/>
      <c r="S67" s="325"/>
      <c r="T67" s="325"/>
      <c r="U67" s="325"/>
      <c r="V67" s="325"/>
      <c r="W67" s="325"/>
      <c r="X67" s="325"/>
    </row>
    <row r="68" spans="1:24" x14ac:dyDescent="0.25">
      <c r="A68" s="331" t="s">
        <v>502</v>
      </c>
      <c r="B68" s="424"/>
      <c r="C68" s="348">
        <f>IF(SUM($C$61:C61)+SUM($A$68:A68)&gt;0,0,SUM($C$61:C61)-SUM($A$68:A68))</f>
        <v>0</v>
      </c>
      <c r="D68" s="348">
        <f>IF(SUM($C$61:D61)+SUM($A$68:C68)&gt;0,0,SUM($C$61:D61)-SUM($A$68:C68))</f>
        <v>0</v>
      </c>
      <c r="E68" s="380">
        <f>IF(SUM($C$61:E61)+SUM($A$68:D68)&gt;0,0,SUM($C$61:E61)-SUM($A$68:D68))</f>
        <v>0</v>
      </c>
      <c r="F68" s="363"/>
      <c r="G68" s="363"/>
      <c r="H68" s="363"/>
      <c r="I68" s="363"/>
      <c r="J68" s="363"/>
      <c r="K68" s="363"/>
      <c r="L68" s="363"/>
      <c r="M68" s="325"/>
      <c r="N68" s="325"/>
      <c r="O68" s="325"/>
      <c r="P68" s="325"/>
      <c r="Q68" s="325"/>
      <c r="R68" s="325"/>
      <c r="S68" s="325"/>
      <c r="T68" s="325"/>
      <c r="U68" s="325"/>
      <c r="V68" s="325"/>
      <c r="W68" s="325"/>
      <c r="X68" s="325"/>
    </row>
    <row r="69" spans="1:24" x14ac:dyDescent="0.25">
      <c r="A69" s="331" t="s">
        <v>376</v>
      </c>
      <c r="B69" s="424"/>
      <c r="C69" s="393"/>
      <c r="D69" s="393">
        <f>IF(((SUM($C$48:D48)+SUM($C$50:D54))+SUM($C$71:D71))&lt;0,((SUM($C$48:D48)+SUM($C$50:D54))+SUM($C$71:D71))*0.18-SUM($A$69:C69),IF(SUM($C$69:C69)&lt;0,0-SUM($C$69:C69),0))</f>
        <v>0</v>
      </c>
      <c r="E69" s="394">
        <f>IF(((SUM($C$48:E48)+SUM($C$50:E54))+SUM($C$71:E71))&lt;0,((SUM($C$48:E48)+SUM($C$50:E54))+SUM($C$71:E71))*0.18-SUM($A$69:D69),IF(SUM($C$69:D69)&lt;0,0-SUM($C$69:D69),0))</f>
        <v>0</v>
      </c>
      <c r="F69" s="364"/>
      <c r="G69" s="364"/>
      <c r="H69" s="364"/>
      <c r="I69" s="364"/>
      <c r="J69" s="364"/>
      <c r="K69" s="364"/>
      <c r="L69" s="364"/>
      <c r="M69" s="336"/>
      <c r="N69" s="325"/>
      <c r="O69" s="325"/>
      <c r="P69" s="325"/>
      <c r="Q69" s="325"/>
      <c r="R69" s="325"/>
      <c r="S69" s="325"/>
      <c r="T69" s="325"/>
      <c r="U69" s="325"/>
      <c r="V69" s="325"/>
      <c r="W69" s="325"/>
      <c r="X69" s="325"/>
    </row>
    <row r="70" spans="1:24" x14ac:dyDescent="0.25">
      <c r="A70" s="331" t="s">
        <v>377</v>
      </c>
      <c r="B70" s="424"/>
      <c r="C70" s="348">
        <f>-C48*(C28)</f>
        <v>0</v>
      </c>
      <c r="D70" s="348">
        <f>-(D48-C48)*$C$28</f>
        <v>0</v>
      </c>
      <c r="E70" s="380">
        <f>-(E48-D48)*$C$28</f>
        <v>0</v>
      </c>
      <c r="F70" s="363"/>
      <c r="G70" s="363"/>
      <c r="H70" s="363"/>
      <c r="I70" s="363"/>
      <c r="J70" s="363"/>
      <c r="K70" s="363"/>
      <c r="L70" s="363"/>
      <c r="M70" s="325"/>
      <c r="N70" s="325"/>
      <c r="O70" s="325"/>
      <c r="P70" s="325"/>
      <c r="Q70" s="325"/>
      <c r="R70" s="325"/>
      <c r="S70" s="325"/>
      <c r="T70" s="325"/>
      <c r="U70" s="325"/>
      <c r="V70" s="325"/>
      <c r="W70" s="325"/>
      <c r="X70" s="325"/>
    </row>
    <row r="71" spans="1:24" x14ac:dyDescent="0.25">
      <c r="A71" s="331" t="s">
        <v>378</v>
      </c>
      <c r="B71" s="424"/>
      <c r="C71" s="348">
        <f>-($C$14+$C$15)*$C$17</f>
        <v>0</v>
      </c>
      <c r="D71" s="348">
        <v>0</v>
      </c>
      <c r="E71" s="380">
        <v>0</v>
      </c>
      <c r="F71" s="363"/>
      <c r="G71" s="363"/>
      <c r="H71" s="363"/>
      <c r="I71" s="363"/>
      <c r="J71" s="363"/>
      <c r="K71" s="363"/>
      <c r="L71" s="363"/>
    </row>
    <row r="72" spans="1:24" x14ac:dyDescent="0.25">
      <c r="A72" s="331" t="s">
        <v>379</v>
      </c>
      <c r="B72" s="424"/>
      <c r="C72" s="348">
        <f>B43-C44</f>
        <v>0</v>
      </c>
      <c r="D72" s="348">
        <f>D43-D44</f>
        <v>0</v>
      </c>
      <c r="E72" s="380">
        <f>E43-E44</f>
        <v>0</v>
      </c>
      <c r="F72" s="363"/>
      <c r="G72" s="363"/>
      <c r="H72" s="363"/>
      <c r="I72" s="363"/>
      <c r="J72" s="363"/>
      <c r="K72" s="363"/>
      <c r="L72" s="363"/>
    </row>
    <row r="73" spans="1:24" s="310" customFormat="1" ht="14.25" x14ac:dyDescent="0.25">
      <c r="A73" s="337" t="s">
        <v>380</v>
      </c>
      <c r="B73" s="427"/>
      <c r="C73" s="347">
        <f>SUM(C65:C72)</f>
        <v>0</v>
      </c>
      <c r="D73" s="347">
        <f>SUM(D65:D72)</f>
        <v>0</v>
      </c>
      <c r="E73" s="379">
        <f>SUM(E65:E72)</f>
        <v>0</v>
      </c>
      <c r="F73" s="362"/>
      <c r="G73" s="362"/>
      <c r="H73" s="362"/>
      <c r="I73" s="362"/>
      <c r="J73" s="362"/>
      <c r="K73" s="362"/>
      <c r="L73" s="362"/>
    </row>
    <row r="74" spans="1:24" s="310" customFormat="1" ht="14.25" x14ac:dyDescent="0.25">
      <c r="A74" s="337" t="s">
        <v>381</v>
      </c>
      <c r="B74" s="427"/>
      <c r="C74" s="347"/>
      <c r="D74" s="347"/>
      <c r="E74" s="379"/>
      <c r="F74" s="362"/>
      <c r="G74" s="362"/>
      <c r="H74" s="362"/>
      <c r="I74" s="362"/>
      <c r="J74" s="362"/>
      <c r="K74" s="362"/>
      <c r="L74" s="362"/>
    </row>
    <row r="75" spans="1:24" x14ac:dyDescent="0.25">
      <c r="A75" s="9" t="s">
        <v>382</v>
      </c>
      <c r="B75" s="428"/>
      <c r="C75" s="395"/>
      <c r="D75" s="395"/>
      <c r="E75" s="396"/>
      <c r="F75" s="365"/>
      <c r="G75" s="365"/>
      <c r="H75" s="365"/>
      <c r="I75" s="365"/>
      <c r="J75" s="365"/>
      <c r="K75" s="365"/>
      <c r="L75" s="365"/>
    </row>
    <row r="76" spans="1:24" s="310" customFormat="1" ht="14.25" x14ac:dyDescent="0.25">
      <c r="A76" s="338" t="s">
        <v>383</v>
      </c>
      <c r="B76" s="429"/>
      <c r="C76" s="390">
        <f>C73*C75</f>
        <v>0</v>
      </c>
      <c r="D76" s="390">
        <f>D73*D75</f>
        <v>0</v>
      </c>
      <c r="E76" s="397">
        <f>E73*E75</f>
        <v>0</v>
      </c>
      <c r="F76" s="366"/>
      <c r="G76" s="366"/>
      <c r="H76" s="366"/>
      <c r="I76" s="366"/>
      <c r="J76" s="366"/>
      <c r="K76" s="366"/>
      <c r="L76" s="366"/>
      <c r="M76" s="339"/>
    </row>
    <row r="77" spans="1:24" s="310" customFormat="1" ht="14.25" x14ac:dyDescent="0.25">
      <c r="A77" s="338" t="s">
        <v>384</v>
      </c>
      <c r="B77" s="429"/>
      <c r="C77" s="390">
        <f>SUM($C$76:C76)</f>
        <v>0</v>
      </c>
      <c r="D77" s="390">
        <f>SUM($C$76:D76)</f>
        <v>0</v>
      </c>
      <c r="E77" s="397">
        <f>SUM($C$76:E76)</f>
        <v>0</v>
      </c>
      <c r="F77" s="366"/>
      <c r="G77" s="366"/>
      <c r="H77" s="366"/>
      <c r="I77" s="366"/>
      <c r="J77" s="366"/>
      <c r="K77" s="366"/>
      <c r="L77" s="366"/>
    </row>
    <row r="78" spans="1:24" s="310" customFormat="1" ht="14.25" x14ac:dyDescent="0.25">
      <c r="A78" s="338" t="s">
        <v>385</v>
      </c>
      <c r="B78" s="429"/>
      <c r="C78" s="398">
        <f>IF((ISERR(IRR($C$73:C73))),0,IF(IRR($C$73:C73)&lt;0,0,IRR($C$73:C73)))</f>
        <v>0</v>
      </c>
      <c r="D78" s="398">
        <f>IF((ISERR(IRR($C$73:D73))),0,IF(IRR($C$73:D73)&lt;0,0,IRR($C$73:D73)))</f>
        <v>0</v>
      </c>
      <c r="E78" s="399">
        <f>IF((ISERR(IRR($C$73:E73))),0,IF(IRR($C$73:E73)&lt;0,0,IRR($C$73:E73)))</f>
        <v>0</v>
      </c>
      <c r="F78" s="367"/>
      <c r="G78" s="367"/>
      <c r="H78" s="367"/>
      <c r="I78" s="367"/>
      <c r="J78" s="367"/>
      <c r="K78" s="367"/>
      <c r="L78" s="367"/>
    </row>
    <row r="79" spans="1:24" s="310" customFormat="1" ht="14.25" x14ac:dyDescent="0.25">
      <c r="A79" s="338" t="s">
        <v>386</v>
      </c>
      <c r="B79" s="429"/>
      <c r="C79" s="400">
        <f>IF(AND(C74&gt;0,A74&lt;0),(C64-(C74/(C74-A74))),0)</f>
        <v>0</v>
      </c>
      <c r="D79" s="400">
        <f>IF(AND(D74&gt;0,C74&lt;0),(D64-(D74/(D74-C74))),0)</f>
        <v>0</v>
      </c>
      <c r="E79" s="401">
        <f>IF(AND(E74&gt;0,D74&lt;0),(E64-(E74/(E74-D74))),0)</f>
        <v>0</v>
      </c>
      <c r="F79" s="368"/>
      <c r="G79" s="368"/>
      <c r="H79" s="368"/>
      <c r="I79" s="368"/>
      <c r="J79" s="368"/>
      <c r="K79" s="368"/>
      <c r="L79" s="368"/>
    </row>
    <row r="80" spans="1:24" s="310" customFormat="1" ht="15" thickBot="1" x14ac:dyDescent="0.3">
      <c r="A80" s="340" t="s">
        <v>387</v>
      </c>
      <c r="B80" s="430"/>
      <c r="C80" s="402">
        <f>IF(AND(C77&gt;0,A77&lt;0),(C64-(C77/(C77-A77))),0)</f>
        <v>0</v>
      </c>
      <c r="D80" s="402">
        <f>IF(AND(D77&gt;0,C77&lt;0),(D64-(D77/(D77-C77))),0)</f>
        <v>0</v>
      </c>
      <c r="E80" s="403">
        <f>IF(AND(E77&gt;0,D77&lt;0),(E64-(E77/(E77-D77))),0)</f>
        <v>0</v>
      </c>
      <c r="F80" s="368"/>
      <c r="G80" s="368"/>
      <c r="H80" s="368"/>
      <c r="I80" s="368"/>
      <c r="J80" s="368"/>
      <c r="K80" s="368"/>
      <c r="L80" s="368"/>
    </row>
    <row r="82" spans="1:5" x14ac:dyDescent="0.25">
      <c r="A82" s="470" t="s">
        <v>626</v>
      </c>
      <c r="B82" s="470"/>
      <c r="C82" s="470"/>
      <c r="D82" s="470"/>
      <c r="E82" s="470"/>
    </row>
    <row r="83" spans="1:5" x14ac:dyDescent="0.25">
      <c r="A83" s="470" t="s">
        <v>627</v>
      </c>
      <c r="B83" s="470"/>
      <c r="C83" s="470"/>
      <c r="D83" s="471"/>
      <c r="E83" s="470"/>
    </row>
    <row r="84" spans="1:5" x14ac:dyDescent="0.25">
      <c r="A84" s="470" t="s">
        <v>628</v>
      </c>
      <c r="B84" s="470"/>
      <c r="C84" s="470"/>
      <c r="D84" s="470"/>
      <c r="E84" s="470"/>
    </row>
    <row r="85" spans="1:5" x14ac:dyDescent="0.25">
      <c r="A85" s="470" t="s">
        <v>629</v>
      </c>
      <c r="B85" s="470"/>
      <c r="C85" s="470"/>
      <c r="D85" s="470"/>
      <c r="E85" s="470"/>
    </row>
    <row r="86" spans="1:5" x14ac:dyDescent="0.25">
      <c r="A86" s="470" t="s">
        <v>630</v>
      </c>
      <c r="B86" s="470"/>
      <c r="C86" s="470"/>
      <c r="D86" s="470"/>
      <c r="E86" s="470"/>
    </row>
  </sheetData>
  <mergeCells count="8">
    <mergeCell ref="E19:F19"/>
    <mergeCell ref="E20:F20"/>
    <mergeCell ref="A11:L11"/>
    <mergeCell ref="A12:L12"/>
    <mergeCell ref="F6:L6"/>
    <mergeCell ref="F7:L7"/>
    <mergeCell ref="E17:F17"/>
    <mergeCell ref="E18:F18"/>
  </mergeCells>
  <phoneticPr fontId="0" type="noConversion"/>
  <pageMargins left="0.70866141732283472" right="0.70866141732283472" top="0.74803149606299213" bottom="1.1023622047244095" header="0.31496062992125984" footer="0.31496062992125984"/>
  <pageSetup paperSize="9" scale="4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60"/>
  <sheetViews>
    <sheetView zoomScale="70" zoomScaleNormal="70" workbookViewId="0">
      <selection activeCell="H13" sqref="H13:K13"/>
    </sheetView>
  </sheetViews>
  <sheetFormatPr defaultColWidth="9" defaultRowHeight="15.75" x14ac:dyDescent="0.25"/>
  <cols>
    <col min="1" max="1" width="9" style="1"/>
    <col min="2" max="2" width="36.875" style="1" bestFit="1" customWidth="1"/>
    <col min="3" max="3" width="7.125" style="1" customWidth="1"/>
    <col min="4" max="4" width="6" style="1" customWidth="1"/>
    <col min="5" max="5" width="5.75" style="17" customWidth="1"/>
    <col min="6" max="6" width="10.5" style="17" customWidth="1"/>
    <col min="7" max="7" width="7.5" style="17" customWidth="1"/>
    <col min="8" max="8" width="6.375" style="1" customWidth="1"/>
    <col min="9" max="9" width="6.5" style="1" customWidth="1"/>
    <col min="10" max="10" width="6.375" style="1" customWidth="1"/>
    <col min="11" max="11" width="7.875" style="1" customWidth="1"/>
    <col min="12" max="12" width="7.75" style="1" customWidth="1"/>
    <col min="13" max="16" width="6.5" style="1" customWidth="1"/>
    <col min="17" max="17" width="6.875" style="1" customWidth="1"/>
    <col min="18" max="18" width="9" style="1"/>
    <col min="19" max="19" width="6.125" style="1" customWidth="1"/>
    <col min="20" max="20" width="7.5" style="1" customWidth="1"/>
    <col min="21" max="21" width="7.625" style="1" customWidth="1"/>
    <col min="22" max="22" width="7.75" style="1" customWidth="1"/>
    <col min="23" max="23" width="10.125" style="1" bestFit="1" customWidth="1"/>
    <col min="24" max="24" width="12" style="1" customWidth="1"/>
    <col min="25" max="25" width="10.25" style="1" bestFit="1" customWidth="1"/>
    <col min="26" max="26" width="8.75" style="1" bestFit="1" customWidth="1"/>
    <col min="27" max="27" width="7.75" style="1" customWidth="1"/>
    <col min="28" max="28" width="9.125" style="1" customWidth="1"/>
    <col min="29" max="29" width="9.875" style="1" customWidth="1"/>
    <col min="30" max="30" width="7.75" style="1" customWidth="1"/>
    <col min="31" max="31" width="9.375" style="1" customWidth="1"/>
    <col min="32" max="32" width="9" style="1"/>
    <col min="33" max="33" width="5.875" style="1" customWidth="1"/>
    <col min="34" max="34" width="7.125" style="1" customWidth="1"/>
    <col min="35" max="35" width="8.125" style="1" customWidth="1"/>
    <col min="36" max="36" width="10.25" style="1" customWidth="1"/>
    <col min="37" max="16384" width="9" style="1"/>
  </cols>
  <sheetData>
    <row r="1" spans="1:36" x14ac:dyDescent="0.25">
      <c r="AJ1" s="437" t="s">
        <v>320</v>
      </c>
    </row>
    <row r="2" spans="1:36" x14ac:dyDescent="0.25">
      <c r="AJ2" s="437" t="s">
        <v>91</v>
      </c>
    </row>
    <row r="3" spans="1:36" x14ac:dyDescent="0.25">
      <c r="AJ3" s="437" t="s">
        <v>106</v>
      </c>
    </row>
    <row r="4" spans="1:36" x14ac:dyDescent="0.25">
      <c r="AI4" s="4"/>
    </row>
    <row r="6" spans="1:36" ht="33" customHeight="1" x14ac:dyDescent="0.25">
      <c r="A6" s="1079" t="s">
        <v>396</v>
      </c>
      <c r="B6" s="1079"/>
      <c r="C6" s="1079"/>
      <c r="D6" s="1079"/>
      <c r="E6" s="1079"/>
      <c r="F6" s="1079"/>
      <c r="G6" s="1079"/>
      <c r="H6" s="1079"/>
      <c r="I6" s="1079"/>
      <c r="J6" s="1079"/>
      <c r="K6" s="1079"/>
      <c r="L6" s="1079"/>
      <c r="M6" s="1079"/>
      <c r="N6" s="1079"/>
      <c r="O6" s="1079"/>
      <c r="P6" s="1079"/>
      <c r="Q6" s="1079"/>
      <c r="R6" s="1079"/>
      <c r="S6" s="1079"/>
      <c r="T6" s="1079"/>
      <c r="U6" s="1079"/>
      <c r="V6" s="1079"/>
      <c r="W6" s="1079"/>
      <c r="X6" s="1079"/>
      <c r="Y6" s="1079"/>
      <c r="Z6" s="1079"/>
      <c r="AA6" s="1079"/>
      <c r="AB6" s="1079"/>
      <c r="AC6" s="1079"/>
      <c r="AD6" s="1079"/>
      <c r="AE6" s="1079"/>
      <c r="AF6" s="1079"/>
      <c r="AG6" s="1079"/>
      <c r="AH6" s="1079"/>
      <c r="AI6" s="1079"/>
      <c r="AJ6" s="1079"/>
    </row>
    <row r="7" spans="1:36" x14ac:dyDescent="0.25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</row>
    <row r="8" spans="1:36" x14ac:dyDescent="0.25">
      <c r="AJ8" s="437" t="s">
        <v>92</v>
      </c>
    </row>
    <row r="9" spans="1:36" x14ac:dyDescent="0.25">
      <c r="AJ9" s="437" t="s">
        <v>414</v>
      </c>
    </row>
    <row r="10" spans="1:36" x14ac:dyDescent="0.25">
      <c r="AJ10" s="4"/>
    </row>
    <row r="11" spans="1:36" x14ac:dyDescent="0.25">
      <c r="AJ11" s="437" t="s">
        <v>622</v>
      </c>
    </row>
    <row r="12" spans="1:36" x14ac:dyDescent="0.25">
      <c r="AJ12" s="437" t="s">
        <v>623</v>
      </c>
    </row>
    <row r="13" spans="1:36" x14ac:dyDescent="0.25">
      <c r="AJ13" s="462" t="s">
        <v>96</v>
      </c>
    </row>
    <row r="14" spans="1:36" ht="16.5" thickBot="1" x14ac:dyDescent="0.3"/>
    <row r="15" spans="1:36" ht="22.5" customHeight="1" x14ac:dyDescent="0.25">
      <c r="A15" s="1120" t="s">
        <v>431</v>
      </c>
      <c r="B15" s="1122" t="s">
        <v>272</v>
      </c>
      <c r="C15" s="1122" t="s">
        <v>297</v>
      </c>
      <c r="D15" s="1122"/>
      <c r="E15" s="1122"/>
      <c r="F15" s="1122"/>
      <c r="G15" s="1122"/>
      <c r="H15" s="1122" t="s">
        <v>298</v>
      </c>
      <c r="I15" s="1122"/>
      <c r="J15" s="1122"/>
      <c r="K15" s="1122"/>
      <c r="L15" s="1122"/>
      <c r="M15" s="1122" t="s">
        <v>299</v>
      </c>
      <c r="N15" s="1122"/>
      <c r="O15" s="1122"/>
      <c r="P15" s="1122"/>
      <c r="Q15" s="1122"/>
      <c r="R15" s="1122" t="s">
        <v>300</v>
      </c>
      <c r="S15" s="1122"/>
      <c r="T15" s="1122"/>
      <c r="U15" s="1122"/>
      <c r="V15" s="1122"/>
      <c r="W15" s="997" t="s">
        <v>273</v>
      </c>
      <c r="X15" s="997"/>
      <c r="Y15" s="997"/>
      <c r="Z15" s="997"/>
      <c r="AA15" s="997"/>
      <c r="AB15" s="997"/>
      <c r="AC15" s="997"/>
      <c r="AD15" s="997"/>
      <c r="AE15" s="997"/>
      <c r="AF15" s="997"/>
      <c r="AG15" s="997"/>
      <c r="AH15" s="997"/>
      <c r="AI15" s="997"/>
      <c r="AJ15" s="1010"/>
    </row>
    <row r="16" spans="1:36" ht="27.75" customHeight="1" x14ac:dyDescent="0.25">
      <c r="A16" s="1121"/>
      <c r="B16" s="1123"/>
      <c r="C16" s="1123"/>
      <c r="D16" s="1123"/>
      <c r="E16" s="1123"/>
      <c r="F16" s="1123"/>
      <c r="G16" s="1123"/>
      <c r="H16" s="1123"/>
      <c r="I16" s="1123"/>
      <c r="J16" s="1123"/>
      <c r="K16" s="1123"/>
      <c r="L16" s="1123"/>
      <c r="M16" s="1123"/>
      <c r="N16" s="1123"/>
      <c r="O16" s="1123"/>
      <c r="P16" s="1123"/>
      <c r="Q16" s="1123"/>
      <c r="R16" s="1123"/>
      <c r="S16" s="1123"/>
      <c r="T16" s="1123"/>
      <c r="U16" s="1123"/>
      <c r="V16" s="1123"/>
      <c r="W16" s="1123" t="s">
        <v>390</v>
      </c>
      <c r="X16" s="1123"/>
      <c r="Y16" s="1123"/>
      <c r="Z16" s="1123"/>
      <c r="AA16" s="994" t="s">
        <v>274</v>
      </c>
      <c r="AB16" s="994"/>
      <c r="AC16" s="994"/>
      <c r="AD16" s="994"/>
      <c r="AE16" s="994" t="s">
        <v>275</v>
      </c>
      <c r="AF16" s="994"/>
      <c r="AG16" s="994"/>
      <c r="AH16" s="994"/>
      <c r="AI16" s="994"/>
      <c r="AJ16" s="921" t="s">
        <v>392</v>
      </c>
    </row>
    <row r="17" spans="1:36" ht="79.5" customHeight="1" x14ac:dyDescent="0.25">
      <c r="A17" s="27"/>
      <c r="B17" s="26" t="s">
        <v>455</v>
      </c>
      <c r="C17" s="6" t="s">
        <v>284</v>
      </c>
      <c r="D17" s="6" t="s">
        <v>285</v>
      </c>
      <c r="E17" s="6" t="s">
        <v>286</v>
      </c>
      <c r="F17" s="6" t="s">
        <v>287</v>
      </c>
      <c r="G17" s="6" t="s">
        <v>288</v>
      </c>
      <c r="H17" s="6" t="s">
        <v>284</v>
      </c>
      <c r="I17" s="6" t="s">
        <v>285</v>
      </c>
      <c r="J17" s="6" t="s">
        <v>286</v>
      </c>
      <c r="K17" s="6" t="s">
        <v>287</v>
      </c>
      <c r="L17" s="6" t="s">
        <v>288</v>
      </c>
      <c r="M17" s="6" t="s">
        <v>284</v>
      </c>
      <c r="N17" s="6" t="s">
        <v>285</v>
      </c>
      <c r="O17" s="6" t="s">
        <v>286</v>
      </c>
      <c r="P17" s="6" t="s">
        <v>287</v>
      </c>
      <c r="Q17" s="6" t="s">
        <v>288</v>
      </c>
      <c r="R17" s="6" t="s">
        <v>284</v>
      </c>
      <c r="S17" s="6" t="s">
        <v>285</v>
      </c>
      <c r="T17" s="6" t="s">
        <v>286</v>
      </c>
      <c r="U17" s="6" t="s">
        <v>287</v>
      </c>
      <c r="V17" s="6" t="s">
        <v>288</v>
      </c>
      <c r="W17" s="296" t="s">
        <v>276</v>
      </c>
      <c r="X17" s="306" t="s">
        <v>393</v>
      </c>
      <c r="Y17" s="6" t="s">
        <v>391</v>
      </c>
      <c r="Z17" s="6" t="s">
        <v>394</v>
      </c>
      <c r="AA17" s="303" t="s">
        <v>276</v>
      </c>
      <c r="AB17" s="304" t="s">
        <v>277</v>
      </c>
      <c r="AC17" s="304" t="s">
        <v>278</v>
      </c>
      <c r="AD17" s="304" t="s">
        <v>279</v>
      </c>
      <c r="AE17" s="303" t="s">
        <v>280</v>
      </c>
      <c r="AF17" s="304" t="s">
        <v>277</v>
      </c>
      <c r="AG17" s="305" t="s">
        <v>281</v>
      </c>
      <c r="AH17" s="305" t="s">
        <v>282</v>
      </c>
      <c r="AI17" s="304" t="s">
        <v>283</v>
      </c>
      <c r="AJ17" s="1124"/>
    </row>
    <row r="18" spans="1:36" ht="31.5" x14ac:dyDescent="0.25">
      <c r="A18" s="27">
        <v>1</v>
      </c>
      <c r="B18" s="26" t="s">
        <v>540</v>
      </c>
      <c r="C18" s="26"/>
      <c r="D18" s="26"/>
      <c r="E18" s="26" t="s">
        <v>289</v>
      </c>
      <c r="F18" s="26"/>
      <c r="G18" s="26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1"/>
    </row>
    <row r="19" spans="1:36" ht="31.5" x14ac:dyDescent="0.25">
      <c r="A19" s="113" t="s">
        <v>418</v>
      </c>
      <c r="B19" s="26" t="s">
        <v>537</v>
      </c>
      <c r="C19" s="26"/>
      <c r="D19" s="26"/>
      <c r="E19" s="26"/>
      <c r="F19" s="26"/>
      <c r="G19" s="26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1"/>
    </row>
    <row r="20" spans="1:36" x14ac:dyDescent="0.25">
      <c r="A20" s="18">
        <v>1</v>
      </c>
      <c r="B20" s="5" t="s">
        <v>290</v>
      </c>
      <c r="C20" s="5"/>
      <c r="D20" s="5"/>
      <c r="E20" s="5"/>
      <c r="F20" s="5"/>
      <c r="G20" s="5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1"/>
    </row>
    <row r="21" spans="1:36" x14ac:dyDescent="0.25">
      <c r="A21" s="18">
        <v>2</v>
      </c>
      <c r="B21" s="5" t="s">
        <v>458</v>
      </c>
      <c r="C21" s="5"/>
      <c r="D21" s="5"/>
      <c r="E21" s="5"/>
      <c r="F21" s="5"/>
      <c r="G21" s="5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1"/>
    </row>
    <row r="22" spans="1:36" x14ac:dyDescent="0.25">
      <c r="A22" s="18" t="s">
        <v>457</v>
      </c>
      <c r="B22" s="5" t="s">
        <v>457</v>
      </c>
      <c r="C22" s="5"/>
      <c r="D22" s="5"/>
      <c r="E22" s="5"/>
      <c r="F22" s="5"/>
      <c r="G22" s="5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1"/>
    </row>
    <row r="23" spans="1:36" ht="31.5" x14ac:dyDescent="0.25">
      <c r="A23" s="27" t="s">
        <v>419</v>
      </c>
      <c r="B23" s="26" t="s">
        <v>73</v>
      </c>
      <c r="C23" s="26"/>
      <c r="D23" s="5"/>
      <c r="E23" s="5"/>
      <c r="F23" s="5"/>
      <c r="G23" s="5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1"/>
    </row>
    <row r="24" spans="1:36" x14ac:dyDescent="0.25">
      <c r="A24" s="18">
        <v>1</v>
      </c>
      <c r="B24" s="5" t="s">
        <v>456</v>
      </c>
      <c r="C24" s="5"/>
      <c r="D24" s="5"/>
      <c r="E24" s="5"/>
      <c r="F24" s="5"/>
      <c r="G24" s="5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1"/>
    </row>
    <row r="25" spans="1:36" x14ac:dyDescent="0.25">
      <c r="A25" s="18">
        <v>2</v>
      </c>
      <c r="B25" s="5" t="s">
        <v>458</v>
      </c>
      <c r="C25" s="5"/>
      <c r="D25" s="5"/>
      <c r="E25" s="5"/>
      <c r="F25" s="5"/>
      <c r="G25" s="5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1"/>
    </row>
    <row r="26" spans="1:36" x14ac:dyDescent="0.25">
      <c r="A26" s="18" t="s">
        <v>457</v>
      </c>
      <c r="B26" s="5"/>
      <c r="C26" s="5"/>
      <c r="D26" s="5"/>
      <c r="E26" s="5"/>
      <c r="F26" s="5"/>
      <c r="G26" s="5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1"/>
    </row>
    <row r="27" spans="1:36" ht="31.5" x14ac:dyDescent="0.25">
      <c r="A27" s="27" t="s">
        <v>430</v>
      </c>
      <c r="B27" s="26" t="s">
        <v>538</v>
      </c>
      <c r="C27" s="26"/>
      <c r="D27" s="5"/>
      <c r="E27" s="5"/>
      <c r="F27" s="5"/>
      <c r="G27" s="5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1"/>
    </row>
    <row r="28" spans="1:36" x14ac:dyDescent="0.25">
      <c r="A28" s="18">
        <v>1</v>
      </c>
      <c r="B28" s="5" t="s">
        <v>456</v>
      </c>
      <c r="C28" s="5"/>
      <c r="D28" s="5"/>
      <c r="E28" s="5"/>
      <c r="F28" s="5"/>
      <c r="G28" s="5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1"/>
    </row>
    <row r="29" spans="1:36" x14ac:dyDescent="0.25">
      <c r="A29" s="18">
        <v>2</v>
      </c>
      <c r="B29" s="5" t="s">
        <v>458</v>
      </c>
      <c r="C29" s="5"/>
      <c r="D29" s="5"/>
      <c r="E29" s="5"/>
      <c r="F29" s="5"/>
      <c r="G29" s="5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1"/>
    </row>
    <row r="30" spans="1:36" x14ac:dyDescent="0.25">
      <c r="A30" s="18" t="s">
        <v>457</v>
      </c>
      <c r="B30" s="5"/>
      <c r="C30" s="5"/>
      <c r="D30" s="5"/>
      <c r="E30" s="5"/>
      <c r="F30" s="5"/>
      <c r="G30" s="5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1"/>
    </row>
    <row r="31" spans="1:36" ht="47.25" x14ac:dyDescent="0.25">
      <c r="A31" s="27" t="s">
        <v>447</v>
      </c>
      <c r="B31" s="26" t="s">
        <v>539</v>
      </c>
      <c r="C31" s="26"/>
      <c r="D31" s="5"/>
      <c r="E31" s="5"/>
      <c r="F31" s="5"/>
      <c r="G31" s="5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1"/>
    </row>
    <row r="32" spans="1:36" x14ac:dyDescent="0.25">
      <c r="A32" s="18">
        <v>1</v>
      </c>
      <c r="B32" s="5" t="s">
        <v>456</v>
      </c>
      <c r="C32" s="5"/>
      <c r="D32" s="5"/>
      <c r="E32" s="5"/>
      <c r="F32" s="5"/>
      <c r="G32" s="5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1"/>
    </row>
    <row r="33" spans="1:36" x14ac:dyDescent="0.25">
      <c r="A33" s="18">
        <v>2</v>
      </c>
      <c r="B33" s="5" t="s">
        <v>458</v>
      </c>
      <c r="C33" s="5"/>
      <c r="D33" s="5"/>
      <c r="E33" s="5"/>
      <c r="F33" s="5"/>
      <c r="G33" s="5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1"/>
    </row>
    <row r="34" spans="1:36" x14ac:dyDescent="0.25">
      <c r="A34" s="18" t="s">
        <v>457</v>
      </c>
      <c r="B34" s="5"/>
      <c r="C34" s="5"/>
      <c r="D34" s="5"/>
      <c r="E34" s="5"/>
      <c r="F34" s="5"/>
      <c r="G34" s="5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1"/>
    </row>
    <row r="35" spans="1:36" x14ac:dyDescent="0.25">
      <c r="A35" s="27" t="s">
        <v>420</v>
      </c>
      <c r="B35" s="26" t="s">
        <v>469</v>
      </c>
      <c r="C35" s="26"/>
      <c r="D35" s="26"/>
      <c r="E35" s="26"/>
      <c r="F35" s="26"/>
      <c r="G35" s="26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1"/>
    </row>
    <row r="36" spans="1:36" ht="31.5" x14ac:dyDescent="0.25">
      <c r="A36" s="113" t="s">
        <v>421</v>
      </c>
      <c r="B36" s="26" t="s">
        <v>537</v>
      </c>
      <c r="C36" s="26"/>
      <c r="D36" s="26"/>
      <c r="E36" s="26"/>
      <c r="F36" s="26"/>
      <c r="G36" s="26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1"/>
    </row>
    <row r="37" spans="1:36" x14ac:dyDescent="0.25">
      <c r="A37" s="18">
        <v>1</v>
      </c>
      <c r="B37" s="5" t="s">
        <v>456</v>
      </c>
      <c r="C37" s="5"/>
      <c r="D37" s="5"/>
      <c r="E37" s="5"/>
      <c r="F37" s="5"/>
      <c r="G37" s="5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1"/>
    </row>
    <row r="38" spans="1:36" x14ac:dyDescent="0.25">
      <c r="A38" s="18">
        <v>2</v>
      </c>
      <c r="B38" s="5" t="s">
        <v>458</v>
      </c>
      <c r="C38" s="5"/>
      <c r="D38" s="5"/>
      <c r="E38" s="5"/>
      <c r="F38" s="5"/>
      <c r="G38" s="5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1"/>
    </row>
    <row r="39" spans="1:36" x14ac:dyDescent="0.25">
      <c r="A39" s="18" t="s">
        <v>457</v>
      </c>
      <c r="B39" s="5"/>
      <c r="C39" s="5"/>
      <c r="D39" s="5"/>
      <c r="E39" s="5"/>
      <c r="F39" s="5"/>
      <c r="G39" s="5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1"/>
    </row>
    <row r="40" spans="1:36" x14ac:dyDescent="0.25">
      <c r="A40" s="113" t="s">
        <v>422</v>
      </c>
      <c r="B40" s="206" t="s">
        <v>97</v>
      </c>
      <c r="C40" s="206"/>
      <c r="D40" s="5"/>
      <c r="E40" s="5"/>
      <c r="F40" s="5"/>
      <c r="G40" s="5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1"/>
    </row>
    <row r="41" spans="1:36" x14ac:dyDescent="0.25">
      <c r="A41" s="18">
        <v>1</v>
      </c>
      <c r="B41" s="5" t="s">
        <v>456</v>
      </c>
      <c r="C41" s="5"/>
      <c r="D41" s="5"/>
      <c r="E41" s="5"/>
      <c r="F41" s="5"/>
      <c r="G41" s="5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1"/>
    </row>
    <row r="42" spans="1:36" x14ac:dyDescent="0.25">
      <c r="A42" s="18"/>
      <c r="B42" s="5" t="s">
        <v>548</v>
      </c>
      <c r="C42" s="5"/>
      <c r="D42" s="5"/>
      <c r="E42" s="5"/>
      <c r="F42" s="5"/>
      <c r="G42" s="5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1"/>
    </row>
    <row r="43" spans="1:36" x14ac:dyDescent="0.25">
      <c r="A43" s="18">
        <v>2</v>
      </c>
      <c r="B43" s="5" t="s">
        <v>458</v>
      </c>
      <c r="C43" s="5"/>
      <c r="D43" s="5"/>
      <c r="E43" s="5"/>
      <c r="F43" s="5"/>
      <c r="G43" s="5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1"/>
    </row>
    <row r="44" spans="1:36" x14ac:dyDescent="0.25">
      <c r="A44" s="18"/>
      <c r="B44" s="5" t="s">
        <v>548</v>
      </c>
      <c r="C44" s="5"/>
      <c r="D44" s="5"/>
      <c r="E44" s="5"/>
      <c r="F44" s="5"/>
      <c r="G44" s="5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1"/>
    </row>
    <row r="45" spans="1:36" x14ac:dyDescent="0.25">
      <c r="A45" s="18" t="s">
        <v>457</v>
      </c>
      <c r="B45" s="6"/>
      <c r="C45" s="6"/>
      <c r="D45" s="6"/>
      <c r="E45" s="6"/>
      <c r="F45" s="6"/>
      <c r="G45" s="6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1"/>
    </row>
    <row r="46" spans="1:36" ht="15.75" customHeight="1" x14ac:dyDescent="0.25">
      <c r="A46" s="1102" t="s">
        <v>515</v>
      </c>
      <c r="B46" s="1103"/>
      <c r="C46" s="294"/>
      <c r="D46" s="5"/>
      <c r="E46" s="5"/>
      <c r="F46" s="5"/>
      <c r="G46" s="5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1"/>
    </row>
    <row r="47" spans="1:36" ht="31.5" x14ac:dyDescent="0.25">
      <c r="A47" s="27"/>
      <c r="B47" s="26" t="s">
        <v>536</v>
      </c>
      <c r="C47" s="26"/>
      <c r="D47" s="5"/>
      <c r="E47" s="5"/>
      <c r="F47" s="5"/>
      <c r="G47" s="5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1"/>
    </row>
    <row r="48" spans="1:36" x14ac:dyDescent="0.25">
      <c r="A48" s="18">
        <v>1</v>
      </c>
      <c r="B48" s="5" t="s">
        <v>456</v>
      </c>
      <c r="C48" s="5"/>
      <c r="D48" s="5"/>
      <c r="E48" s="5"/>
      <c r="F48" s="5"/>
      <c r="G48" s="5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1"/>
    </row>
    <row r="49" spans="1:36" x14ac:dyDescent="0.25">
      <c r="A49" s="18">
        <v>2</v>
      </c>
      <c r="B49" s="5" t="s">
        <v>458</v>
      </c>
      <c r="C49" s="5"/>
      <c r="D49" s="5"/>
      <c r="E49" s="5"/>
      <c r="F49" s="5"/>
      <c r="G49" s="5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1"/>
    </row>
    <row r="50" spans="1:36" ht="16.5" thickBot="1" x14ac:dyDescent="0.3">
      <c r="A50" s="89" t="s">
        <v>457</v>
      </c>
      <c r="B50" s="90"/>
      <c r="C50" s="90"/>
      <c r="D50" s="90"/>
      <c r="E50" s="90"/>
      <c r="F50" s="90"/>
      <c r="G50" s="90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3"/>
    </row>
    <row r="51" spans="1:36" x14ac:dyDescent="0.25">
      <c r="A51" s="28"/>
      <c r="B51" s="13"/>
      <c r="C51" s="13"/>
      <c r="D51" s="13"/>
      <c r="E51" s="36"/>
      <c r="F51" s="36"/>
      <c r="G51" s="36"/>
    </row>
    <row r="52" spans="1:36" x14ac:dyDescent="0.25">
      <c r="A52" s="20"/>
      <c r="B52" s="925" t="s">
        <v>291</v>
      </c>
      <c r="C52" s="925"/>
      <c r="D52" s="925"/>
      <c r="E52" s="925"/>
      <c r="F52" s="925"/>
      <c r="G52" s="925"/>
      <c r="H52" s="925"/>
      <c r="I52" s="925"/>
      <c r="J52" s="925"/>
      <c r="K52" s="925"/>
      <c r="L52" s="925"/>
      <c r="M52" s="925"/>
      <c r="N52" s="925"/>
      <c r="O52" s="925"/>
      <c r="P52" s="925"/>
      <c r="Q52" s="925"/>
      <c r="R52" s="925"/>
      <c r="S52" s="925"/>
      <c r="T52" s="925"/>
      <c r="U52" s="925"/>
    </row>
    <row r="53" spans="1:36" x14ac:dyDescent="0.25">
      <c r="A53" s="20"/>
      <c r="B53" s="1" t="s">
        <v>292</v>
      </c>
      <c r="E53" s="1"/>
      <c r="F53" s="1"/>
      <c r="G53" s="1"/>
      <c r="S53" s="17"/>
      <c r="T53" s="17"/>
      <c r="U53" s="17"/>
    </row>
    <row r="54" spans="1:36" x14ac:dyDescent="0.25">
      <c r="B54" s="194"/>
      <c r="C54" s="194"/>
      <c r="D54" s="194"/>
      <c r="E54" s="194"/>
      <c r="F54" s="194"/>
      <c r="G54" s="194"/>
    </row>
    <row r="55" spans="1:36" ht="15.75" customHeight="1" x14ac:dyDescent="0.25">
      <c r="A55" s="20"/>
      <c r="B55" s="1119"/>
      <c r="C55" s="1119"/>
      <c r="D55" s="1119"/>
      <c r="E55" s="1119"/>
      <c r="F55" s="1119"/>
      <c r="G55" s="1119"/>
      <c r="H55" s="1119"/>
      <c r="I55" s="1119"/>
      <c r="J55" s="1119"/>
      <c r="K55" s="1119"/>
    </row>
    <row r="56" spans="1:36" ht="15.75" customHeight="1" x14ac:dyDescent="0.25">
      <c r="A56" s="20"/>
      <c r="B56" s="925"/>
      <c r="C56" s="925"/>
      <c r="D56" s="925"/>
      <c r="E56" s="925"/>
      <c r="F56" s="925"/>
      <c r="G56" s="925"/>
    </row>
    <row r="57" spans="1:36" x14ac:dyDescent="0.25">
      <c r="A57" s="20"/>
    </row>
    <row r="58" spans="1:36" x14ac:dyDescent="0.25">
      <c r="A58" s="20"/>
    </row>
    <row r="59" spans="1:36" ht="33.75" customHeight="1" x14ac:dyDescent="0.25">
      <c r="E59" s="1"/>
      <c r="F59" s="1"/>
      <c r="G59" s="1"/>
    </row>
    <row r="60" spans="1:36" x14ac:dyDescent="0.25">
      <c r="A60" s="17"/>
    </row>
  </sheetData>
  <mergeCells count="16">
    <mergeCell ref="B56:G56"/>
    <mergeCell ref="AA16:AD16"/>
    <mergeCell ref="AE16:AI16"/>
    <mergeCell ref="A46:B46"/>
    <mergeCell ref="M15:Q16"/>
    <mergeCell ref="R15:V16"/>
    <mergeCell ref="A6:AJ6"/>
    <mergeCell ref="B52:U52"/>
    <mergeCell ref="B55:K55"/>
    <mergeCell ref="A15:A16"/>
    <mergeCell ref="B15:B16"/>
    <mergeCell ref="AJ16:AJ17"/>
    <mergeCell ref="W15:AJ15"/>
    <mergeCell ref="W16:Z16"/>
    <mergeCell ref="C15:G16"/>
    <mergeCell ref="H15:L16"/>
  </mergeCells>
  <phoneticPr fontId="0" type="noConversion"/>
  <pageMargins left="0.7" right="0.7" top="0.75" bottom="0.75" header="0.3" footer="0.3"/>
  <pageSetup paperSize="9" scale="3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72"/>
  <sheetViews>
    <sheetView zoomScale="70" zoomScaleNormal="70" workbookViewId="0">
      <selection activeCell="H13" sqref="H13:K13"/>
    </sheetView>
  </sheetViews>
  <sheetFormatPr defaultColWidth="9" defaultRowHeight="15.75" x14ac:dyDescent="0.25"/>
  <cols>
    <col min="1" max="1" width="9" style="1"/>
    <col min="2" max="2" width="34.875" style="1" customWidth="1"/>
    <col min="3" max="3" width="9.25" style="1" bestFit="1" customWidth="1"/>
    <col min="4" max="4" width="10.5" style="1" bestFit="1" customWidth="1"/>
    <col min="5" max="5" width="6.125" style="1" bestFit="1" customWidth="1"/>
    <col min="6" max="6" width="6.375" style="1" bestFit="1" customWidth="1"/>
    <col min="7" max="7" width="6.125" style="1" bestFit="1" customWidth="1"/>
    <col min="8" max="8" width="6.375" style="1" bestFit="1" customWidth="1"/>
    <col min="9" max="9" width="6.125" style="1" bestFit="1" customWidth="1"/>
    <col min="10" max="10" width="6.375" style="1" bestFit="1" customWidth="1"/>
    <col min="11" max="11" width="6.125" style="1" bestFit="1" customWidth="1"/>
    <col min="12" max="12" width="6.375" style="1" bestFit="1" customWidth="1"/>
    <col min="13" max="13" width="39.625" style="1" customWidth="1"/>
    <col min="14" max="16384" width="9" style="1"/>
  </cols>
  <sheetData>
    <row r="1" spans="1:15" x14ac:dyDescent="0.25">
      <c r="M1" s="437" t="s">
        <v>107</v>
      </c>
    </row>
    <row r="2" spans="1:15" x14ac:dyDescent="0.25">
      <c r="M2" s="437" t="s">
        <v>91</v>
      </c>
    </row>
    <row r="3" spans="1:15" x14ac:dyDescent="0.25">
      <c r="M3" s="437" t="s">
        <v>106</v>
      </c>
    </row>
    <row r="4" spans="1:15" x14ac:dyDescent="0.25">
      <c r="M4" s="4"/>
    </row>
    <row r="5" spans="1:15" ht="31.5" customHeight="1" x14ac:dyDescent="0.25">
      <c r="A5" s="1079" t="s">
        <v>326</v>
      </c>
      <c r="B5" s="907"/>
      <c r="C5" s="907"/>
      <c r="D5" s="907"/>
      <c r="E5" s="907"/>
      <c r="F5" s="907"/>
      <c r="G5" s="907"/>
      <c r="H5" s="907"/>
      <c r="I5" s="907"/>
      <c r="J5" s="907"/>
      <c r="K5" s="907"/>
      <c r="L5" s="907"/>
      <c r="M5" s="907"/>
      <c r="N5" s="1108"/>
      <c r="O5" s="1108"/>
    </row>
    <row r="6" spans="1:15" x14ac:dyDescent="0.25">
      <c r="A6" s="286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19"/>
      <c r="O6" s="19"/>
    </row>
    <row r="7" spans="1:15" x14ac:dyDescent="0.25">
      <c r="M7" s="437" t="s">
        <v>92</v>
      </c>
    </row>
    <row r="8" spans="1:15" x14ac:dyDescent="0.25">
      <c r="M8" s="437" t="s">
        <v>414</v>
      </c>
    </row>
    <row r="9" spans="1:15" x14ac:dyDescent="0.25">
      <c r="M9" s="4"/>
    </row>
    <row r="10" spans="1:15" x14ac:dyDescent="0.25">
      <c r="M10" s="437" t="s">
        <v>622</v>
      </c>
    </row>
    <row r="11" spans="1:15" x14ac:dyDescent="0.25">
      <c r="M11" s="437" t="s">
        <v>623</v>
      </c>
    </row>
    <row r="12" spans="1:15" x14ac:dyDescent="0.25">
      <c r="M12" s="462" t="s">
        <v>96</v>
      </c>
    </row>
    <row r="13" spans="1:15" ht="16.5" thickBot="1" x14ac:dyDescent="0.3">
      <c r="A13" s="16"/>
      <c r="M13" s="4"/>
      <c r="N13" s="19"/>
      <c r="O13" s="19"/>
    </row>
    <row r="14" spans="1:15" ht="32.25" customHeight="1" x14ac:dyDescent="0.25">
      <c r="A14" s="908" t="s">
        <v>431</v>
      </c>
      <c r="B14" s="911" t="s">
        <v>432</v>
      </c>
      <c r="C14" s="911" t="s">
        <v>98</v>
      </c>
      <c r="D14" s="911"/>
      <c r="E14" s="911"/>
      <c r="F14" s="911"/>
      <c r="G14" s="911"/>
      <c r="H14" s="911"/>
      <c r="I14" s="911"/>
      <c r="J14" s="911"/>
      <c r="K14" s="911"/>
      <c r="L14" s="911"/>
      <c r="M14" s="920" t="s">
        <v>433</v>
      </c>
    </row>
    <row r="15" spans="1:15" x14ac:dyDescent="0.25">
      <c r="A15" s="909"/>
      <c r="B15" s="912"/>
      <c r="C15" s="912" t="s">
        <v>434</v>
      </c>
      <c r="D15" s="912"/>
      <c r="E15" s="912" t="s">
        <v>435</v>
      </c>
      <c r="F15" s="912"/>
      <c r="G15" s="912" t="s">
        <v>436</v>
      </c>
      <c r="H15" s="912"/>
      <c r="I15" s="912" t="s">
        <v>437</v>
      </c>
      <c r="J15" s="912"/>
      <c r="K15" s="912" t="s">
        <v>438</v>
      </c>
      <c r="L15" s="912"/>
      <c r="M15" s="921"/>
    </row>
    <row r="16" spans="1:15" ht="16.5" thickBot="1" x14ac:dyDescent="0.3">
      <c r="A16" s="910"/>
      <c r="B16" s="913"/>
      <c r="C16" s="99" t="s">
        <v>529</v>
      </c>
      <c r="D16" s="99" t="s">
        <v>542</v>
      </c>
      <c r="E16" s="99" t="s">
        <v>439</v>
      </c>
      <c r="F16" s="99" t="s">
        <v>440</v>
      </c>
      <c r="G16" s="99" t="s">
        <v>439</v>
      </c>
      <c r="H16" s="99" t="s">
        <v>440</v>
      </c>
      <c r="I16" s="99" t="s">
        <v>439</v>
      </c>
      <c r="J16" s="99" t="s">
        <v>440</v>
      </c>
      <c r="K16" s="99" t="s">
        <v>439</v>
      </c>
      <c r="L16" s="99" t="s">
        <v>440</v>
      </c>
      <c r="M16" s="922"/>
    </row>
    <row r="17" spans="1:15" x14ac:dyDescent="0.25">
      <c r="A17" s="225">
        <v>1</v>
      </c>
      <c r="B17" s="223" t="s">
        <v>442</v>
      </c>
      <c r="C17" s="86"/>
      <c r="D17" s="86"/>
      <c r="E17" s="86"/>
      <c r="F17" s="86"/>
      <c r="G17" s="86"/>
      <c r="H17" s="86"/>
      <c r="I17" s="86"/>
      <c r="J17" s="86"/>
      <c r="K17" s="92"/>
      <c r="L17" s="92"/>
      <c r="M17" s="93"/>
      <c r="N17" s="8"/>
      <c r="O17" s="8"/>
    </row>
    <row r="18" spans="1:15" ht="31.5" x14ac:dyDescent="0.25">
      <c r="A18" s="204" t="s">
        <v>418</v>
      </c>
      <c r="B18" s="5" t="s">
        <v>443</v>
      </c>
      <c r="C18" s="5"/>
      <c r="D18" s="5"/>
      <c r="E18" s="5"/>
      <c r="F18" s="5"/>
      <c r="G18" s="5"/>
      <c r="H18" s="5"/>
      <c r="I18" s="5"/>
      <c r="J18" s="5"/>
      <c r="K18" s="6"/>
      <c r="L18" s="6"/>
      <c r="M18" s="11"/>
    </row>
    <row r="19" spans="1:15" ht="31.5" x14ac:dyDescent="0.25">
      <c r="A19" s="204" t="s">
        <v>444</v>
      </c>
      <c r="B19" s="5" t="s">
        <v>467</v>
      </c>
      <c r="C19" s="5"/>
      <c r="D19" s="5"/>
      <c r="E19" s="5"/>
      <c r="F19" s="5"/>
      <c r="G19" s="5"/>
      <c r="H19" s="5"/>
      <c r="I19" s="5"/>
      <c r="J19" s="5"/>
      <c r="K19" s="6"/>
      <c r="L19" s="6"/>
      <c r="M19" s="11"/>
    </row>
    <row r="20" spans="1:15" x14ac:dyDescent="0.25">
      <c r="A20" s="204" t="s">
        <v>460</v>
      </c>
      <c r="B20" s="5" t="s">
        <v>468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11"/>
    </row>
    <row r="21" spans="1:15" ht="47.25" x14ac:dyDescent="0.25">
      <c r="A21" s="204" t="s">
        <v>464</v>
      </c>
      <c r="B21" s="5" t="s">
        <v>521</v>
      </c>
      <c r="C21" s="26"/>
      <c r="D21" s="26"/>
      <c r="E21" s="26"/>
      <c r="F21" s="26"/>
      <c r="G21" s="26"/>
      <c r="H21" s="26"/>
      <c r="I21" s="26"/>
      <c r="J21" s="26"/>
      <c r="K21" s="6"/>
      <c r="L21" s="6"/>
      <c r="M21" s="11"/>
    </row>
    <row r="22" spans="1:15" ht="31.5" x14ac:dyDescent="0.25">
      <c r="A22" s="204" t="s">
        <v>465</v>
      </c>
      <c r="B22" s="5" t="s">
        <v>522</v>
      </c>
      <c r="C22" s="26"/>
      <c r="D22" s="26"/>
      <c r="E22" s="26"/>
      <c r="F22" s="26"/>
      <c r="G22" s="26"/>
      <c r="H22" s="26"/>
      <c r="I22" s="26"/>
      <c r="J22" s="26"/>
      <c r="K22" s="6"/>
      <c r="L22" s="6"/>
      <c r="M22" s="11"/>
    </row>
    <row r="23" spans="1:15" ht="31.5" x14ac:dyDescent="0.25">
      <c r="A23" s="204" t="s">
        <v>466</v>
      </c>
      <c r="B23" s="5" t="s">
        <v>523</v>
      </c>
      <c r="C23" s="5"/>
      <c r="D23" s="5"/>
      <c r="E23" s="5"/>
      <c r="F23" s="5"/>
      <c r="G23" s="5"/>
      <c r="H23" s="5"/>
      <c r="I23" s="5"/>
      <c r="J23" s="5"/>
      <c r="K23" s="6"/>
      <c r="L23" s="6"/>
      <c r="M23" s="11"/>
    </row>
    <row r="24" spans="1:15" x14ac:dyDescent="0.25">
      <c r="A24" s="204" t="s">
        <v>129</v>
      </c>
      <c r="B24" s="5" t="s">
        <v>113</v>
      </c>
      <c r="C24" s="5"/>
      <c r="D24" s="5"/>
      <c r="E24" s="5"/>
      <c r="F24" s="5"/>
      <c r="G24" s="5"/>
      <c r="H24" s="5"/>
      <c r="I24" s="5"/>
      <c r="J24" s="5"/>
      <c r="K24" s="6"/>
      <c r="L24" s="6"/>
      <c r="M24" s="11"/>
    </row>
    <row r="25" spans="1:15" x14ac:dyDescent="0.25">
      <c r="A25" s="204" t="s">
        <v>419</v>
      </c>
      <c r="B25" s="5" t="s">
        <v>445</v>
      </c>
      <c r="C25" s="5"/>
      <c r="D25" s="5"/>
      <c r="E25" s="5"/>
      <c r="F25" s="5"/>
      <c r="G25" s="5"/>
      <c r="H25" s="5"/>
      <c r="I25" s="5"/>
      <c r="J25" s="5"/>
      <c r="K25" s="6"/>
      <c r="L25" s="6"/>
      <c r="M25" s="11"/>
    </row>
    <row r="26" spans="1:15" x14ac:dyDescent="0.25">
      <c r="A26" s="204" t="s">
        <v>114</v>
      </c>
      <c r="B26" s="5" t="s">
        <v>117</v>
      </c>
      <c r="C26" s="5"/>
      <c r="D26" s="5"/>
      <c r="E26" s="5"/>
      <c r="F26" s="5"/>
      <c r="G26" s="5"/>
      <c r="H26" s="5"/>
      <c r="I26" s="5"/>
      <c r="J26" s="5"/>
      <c r="K26" s="6"/>
      <c r="L26" s="6"/>
      <c r="M26" s="11"/>
    </row>
    <row r="27" spans="1:15" x14ac:dyDescent="0.25">
      <c r="A27" s="204" t="s">
        <v>115</v>
      </c>
      <c r="B27" s="5" t="s">
        <v>118</v>
      </c>
      <c r="C27" s="5"/>
      <c r="D27" s="5"/>
      <c r="E27" s="5"/>
      <c r="F27" s="5"/>
      <c r="G27" s="5"/>
      <c r="H27" s="5"/>
      <c r="I27" s="5"/>
      <c r="J27" s="5"/>
      <c r="K27" s="6"/>
      <c r="L27" s="6"/>
      <c r="M27" s="11"/>
    </row>
    <row r="28" spans="1:15" ht="31.5" x14ac:dyDescent="0.25">
      <c r="A28" s="204" t="s">
        <v>116</v>
      </c>
      <c r="B28" s="5" t="s">
        <v>119</v>
      </c>
      <c r="C28" s="5"/>
      <c r="D28" s="5"/>
      <c r="E28" s="5"/>
      <c r="F28" s="5"/>
      <c r="G28" s="5"/>
      <c r="H28" s="5"/>
      <c r="I28" s="5"/>
      <c r="J28" s="5"/>
      <c r="K28" s="6"/>
      <c r="L28" s="6"/>
      <c r="M28" s="11"/>
    </row>
    <row r="29" spans="1:15" x14ac:dyDescent="0.25">
      <c r="A29" s="204" t="s">
        <v>430</v>
      </c>
      <c r="B29" s="5" t="s">
        <v>446</v>
      </c>
      <c r="C29" s="5"/>
      <c r="D29" s="5"/>
      <c r="E29" s="5"/>
      <c r="F29" s="5"/>
      <c r="G29" s="5"/>
      <c r="H29" s="5"/>
      <c r="I29" s="5"/>
      <c r="J29" s="5"/>
      <c r="K29" s="6"/>
      <c r="L29" s="6"/>
      <c r="M29" s="11"/>
    </row>
    <row r="30" spans="1:15" x14ac:dyDescent="0.25">
      <c r="A30" s="204" t="s">
        <v>447</v>
      </c>
      <c r="B30" s="5" t="s">
        <v>448</v>
      </c>
      <c r="C30" s="5"/>
      <c r="D30" s="5"/>
      <c r="E30" s="5"/>
      <c r="F30" s="5"/>
      <c r="G30" s="5"/>
      <c r="H30" s="5"/>
      <c r="I30" s="5"/>
      <c r="J30" s="5"/>
      <c r="K30" s="6"/>
      <c r="L30" s="6"/>
      <c r="M30" s="11"/>
    </row>
    <row r="31" spans="1:15" x14ac:dyDescent="0.25">
      <c r="A31" s="204" t="s">
        <v>449</v>
      </c>
      <c r="B31" s="5" t="s">
        <v>524</v>
      </c>
      <c r="C31" s="5"/>
      <c r="D31" s="5"/>
      <c r="E31" s="5"/>
      <c r="F31" s="5"/>
      <c r="G31" s="5"/>
      <c r="H31" s="5"/>
      <c r="I31" s="5"/>
      <c r="J31" s="5"/>
      <c r="K31" s="6"/>
      <c r="L31" s="6"/>
      <c r="M31" s="11"/>
    </row>
    <row r="32" spans="1:15" ht="32.25" thickBot="1" x14ac:dyDescent="0.3">
      <c r="A32" s="209" t="s">
        <v>20</v>
      </c>
      <c r="B32" s="210" t="s">
        <v>125</v>
      </c>
      <c r="C32" s="210"/>
      <c r="D32" s="210"/>
      <c r="E32" s="210"/>
      <c r="F32" s="210"/>
      <c r="G32" s="210"/>
      <c r="H32" s="210"/>
      <c r="I32" s="210"/>
      <c r="J32" s="210"/>
      <c r="K32" s="90"/>
      <c r="L32" s="90"/>
      <c r="M32" s="34"/>
    </row>
    <row r="33" spans="1:13" x14ac:dyDescent="0.25">
      <c r="A33" s="222" t="s">
        <v>420</v>
      </c>
      <c r="B33" s="223" t="s">
        <v>525</v>
      </c>
      <c r="C33" s="223"/>
      <c r="D33" s="223"/>
      <c r="E33" s="223"/>
      <c r="F33" s="223"/>
      <c r="G33" s="223"/>
      <c r="H33" s="223"/>
      <c r="I33" s="223"/>
      <c r="J33" s="223"/>
      <c r="K33" s="92"/>
      <c r="L33" s="92"/>
      <c r="M33" s="224"/>
    </row>
    <row r="34" spans="1:13" x14ac:dyDescent="0.25">
      <c r="A34" s="204" t="s">
        <v>421</v>
      </c>
      <c r="B34" s="5" t="s">
        <v>530</v>
      </c>
      <c r="C34" s="5"/>
      <c r="D34" s="5"/>
      <c r="E34" s="5"/>
      <c r="F34" s="5"/>
      <c r="G34" s="5"/>
      <c r="H34" s="5"/>
      <c r="I34" s="5"/>
      <c r="J34" s="5"/>
      <c r="K34" s="6"/>
      <c r="L34" s="6"/>
      <c r="M34" s="11"/>
    </row>
    <row r="35" spans="1:13" x14ac:dyDescent="0.25">
      <c r="A35" s="204" t="s">
        <v>422</v>
      </c>
      <c r="B35" s="5" t="s">
        <v>526</v>
      </c>
      <c r="C35" s="5"/>
      <c r="D35" s="5"/>
      <c r="E35" s="5"/>
      <c r="F35" s="5"/>
      <c r="G35" s="5"/>
      <c r="H35" s="5"/>
      <c r="I35" s="5"/>
      <c r="J35" s="5"/>
      <c r="K35" s="6"/>
      <c r="L35" s="6"/>
      <c r="M35" s="11"/>
    </row>
    <row r="36" spans="1:13" ht="21.75" customHeight="1" x14ac:dyDescent="0.25">
      <c r="A36" s="208" t="s">
        <v>423</v>
      </c>
      <c r="B36" s="5" t="s">
        <v>527</v>
      </c>
      <c r="C36" s="10"/>
      <c r="D36" s="10"/>
      <c r="E36" s="10"/>
      <c r="F36" s="10"/>
      <c r="G36" s="200"/>
      <c r="H36" s="200"/>
      <c r="I36" s="200"/>
      <c r="J36" s="200"/>
      <c r="K36" s="200"/>
      <c r="L36" s="200"/>
      <c r="M36" s="201"/>
    </row>
    <row r="37" spans="1:13" x14ac:dyDescent="0.25">
      <c r="A37" s="208" t="s">
        <v>424</v>
      </c>
      <c r="B37" s="5" t="s">
        <v>450</v>
      </c>
      <c r="C37" s="10"/>
      <c r="D37" s="10"/>
      <c r="E37" s="10"/>
      <c r="F37" s="10"/>
      <c r="G37" s="200"/>
      <c r="H37" s="200"/>
      <c r="I37" s="200"/>
      <c r="J37" s="200"/>
      <c r="K37" s="200"/>
      <c r="L37" s="200"/>
      <c r="M37" s="201"/>
    </row>
    <row r="38" spans="1:13" x14ac:dyDescent="0.25">
      <c r="A38" s="204" t="s">
        <v>470</v>
      </c>
      <c r="B38" s="5" t="s">
        <v>463</v>
      </c>
      <c r="C38" s="10"/>
      <c r="D38" s="10"/>
      <c r="E38" s="10"/>
      <c r="F38" s="10"/>
      <c r="G38" s="200"/>
      <c r="H38" s="200"/>
      <c r="I38" s="200"/>
      <c r="J38" s="200"/>
      <c r="K38" s="200"/>
      <c r="L38" s="200"/>
      <c r="M38" s="201"/>
    </row>
    <row r="39" spans="1:13" x14ac:dyDescent="0.25">
      <c r="A39" s="204" t="s">
        <v>520</v>
      </c>
      <c r="B39" s="5" t="s">
        <v>121</v>
      </c>
      <c r="C39" s="10"/>
      <c r="D39" s="10"/>
      <c r="E39" s="10"/>
      <c r="F39" s="10"/>
      <c r="G39" s="200"/>
      <c r="H39" s="200"/>
      <c r="I39" s="200"/>
      <c r="J39" s="200"/>
      <c r="K39" s="200"/>
      <c r="L39" s="200"/>
      <c r="M39" s="201"/>
    </row>
    <row r="40" spans="1:13" ht="16.5" thickBot="1" x14ac:dyDescent="0.3">
      <c r="A40" s="209" t="s">
        <v>120</v>
      </c>
      <c r="B40" s="210" t="s">
        <v>451</v>
      </c>
      <c r="C40" s="33"/>
      <c r="D40" s="33"/>
      <c r="E40" s="33"/>
      <c r="F40" s="33"/>
      <c r="G40" s="202"/>
      <c r="H40" s="202"/>
      <c r="I40" s="202"/>
      <c r="J40" s="202"/>
      <c r="K40" s="202"/>
      <c r="L40" s="202"/>
      <c r="M40" s="203"/>
    </row>
    <row r="41" spans="1:13" ht="31.5" x14ac:dyDescent="0.25">
      <c r="A41" s="217"/>
      <c r="B41" s="218" t="s">
        <v>441</v>
      </c>
      <c r="C41" s="219"/>
      <c r="D41" s="219"/>
      <c r="E41" s="219"/>
      <c r="F41" s="219"/>
      <c r="G41" s="220"/>
      <c r="H41" s="220"/>
      <c r="I41" s="220"/>
      <c r="J41" s="220"/>
      <c r="K41" s="220"/>
      <c r="L41" s="220"/>
      <c r="M41" s="221"/>
    </row>
    <row r="42" spans="1:13" x14ac:dyDescent="0.25">
      <c r="A42" s="9"/>
      <c r="B42" s="5" t="s">
        <v>109</v>
      </c>
      <c r="C42" s="10"/>
      <c r="D42" s="10"/>
      <c r="E42" s="10"/>
      <c r="F42" s="10"/>
      <c r="G42" s="200"/>
      <c r="H42" s="200"/>
      <c r="I42" s="200"/>
      <c r="J42" s="200"/>
      <c r="K42" s="200"/>
      <c r="L42" s="200"/>
      <c r="M42" s="201"/>
    </row>
    <row r="43" spans="1:13" x14ac:dyDescent="0.25">
      <c r="A43" s="9"/>
      <c r="B43" s="198" t="s">
        <v>110</v>
      </c>
      <c r="C43" s="10"/>
      <c r="D43" s="10"/>
      <c r="E43" s="10"/>
      <c r="F43" s="10"/>
      <c r="G43" s="200"/>
      <c r="H43" s="200"/>
      <c r="I43" s="200"/>
      <c r="J43" s="200"/>
      <c r="K43" s="200"/>
      <c r="L43" s="200"/>
      <c r="M43" s="201"/>
    </row>
    <row r="44" spans="1:13" ht="16.5" thickBot="1" x14ac:dyDescent="0.3">
      <c r="A44" s="114"/>
      <c r="B44" s="199" t="s">
        <v>111</v>
      </c>
      <c r="C44" s="33"/>
      <c r="D44" s="33"/>
      <c r="E44" s="33"/>
      <c r="F44" s="33"/>
      <c r="G44" s="202"/>
      <c r="H44" s="202"/>
      <c r="I44" s="202"/>
      <c r="J44" s="202"/>
      <c r="K44" s="202"/>
      <c r="L44" s="202"/>
      <c r="M44" s="203"/>
    </row>
    <row r="45" spans="1:13" x14ac:dyDescent="0.25">
      <c r="A45" s="14"/>
      <c r="B45" s="207"/>
      <c r="C45" s="36"/>
      <c r="D45" s="36"/>
      <c r="E45" s="36"/>
      <c r="F45" s="36"/>
      <c r="G45" s="13"/>
      <c r="H45" s="13"/>
      <c r="I45" s="13"/>
      <c r="J45" s="13"/>
      <c r="K45" s="13"/>
      <c r="L45" s="13"/>
      <c r="M45" s="13"/>
    </row>
    <row r="46" spans="1:13" x14ac:dyDescent="0.25">
      <c r="A46" s="14" t="s">
        <v>528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3" x14ac:dyDescent="0.25">
      <c r="A47" s="14" t="s">
        <v>543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3" x14ac:dyDescent="0.25">
      <c r="A48" s="14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5" x14ac:dyDescent="0.25">
      <c r="A49" s="36"/>
      <c r="B49" s="101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36"/>
      <c r="N49" s="13"/>
      <c r="O49" s="13"/>
    </row>
    <row r="50" spans="1:15" x14ac:dyDescent="0.25"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5" x14ac:dyDescent="0.25"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5" x14ac:dyDescent="0.25"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5" x14ac:dyDescent="0.25"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5" x14ac:dyDescent="0.25"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1:15" x14ac:dyDescent="0.25"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5" x14ac:dyDescent="0.25"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1:15" x14ac:dyDescent="0.25"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1:15" x14ac:dyDescent="0.25"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1:15" x14ac:dyDescent="0.25"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5" x14ac:dyDescent="0.25"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1:15" x14ac:dyDescent="0.25"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5" x14ac:dyDescent="0.25"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1:15" x14ac:dyDescent="0.25"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5" spans="3:12" x14ac:dyDescent="0.25">
      <c r="F65" s="87"/>
      <c r="G65" s="87"/>
      <c r="H65" s="87"/>
      <c r="I65" s="87"/>
      <c r="J65" s="87"/>
      <c r="K65" s="87"/>
      <c r="L65" s="87"/>
    </row>
    <row r="66" spans="3:12" x14ac:dyDescent="0.25">
      <c r="H66" s="28"/>
      <c r="I66" s="28"/>
      <c r="J66" s="28"/>
      <c r="K66" s="28"/>
      <c r="L66" s="28"/>
    </row>
    <row r="67" spans="3:12" x14ac:dyDescent="0.25"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3:12" x14ac:dyDescent="0.25"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70" spans="3:12" x14ac:dyDescent="0.25">
      <c r="F70" s="22"/>
      <c r="G70" s="22"/>
      <c r="H70" s="22"/>
    </row>
    <row r="71" spans="3:12" x14ac:dyDescent="0.25">
      <c r="C71" s="24"/>
      <c r="F71" s="25"/>
      <c r="H71" s="23"/>
      <c r="I71" s="23"/>
      <c r="J71" s="23"/>
      <c r="L71" s="31"/>
    </row>
    <row r="72" spans="3:12" x14ac:dyDescent="0.25">
      <c r="C72" s="16"/>
      <c r="H72" s="16"/>
    </row>
  </sheetData>
  <mergeCells count="11">
    <mergeCell ref="A5:M5"/>
    <mergeCell ref="N5:O5"/>
    <mergeCell ref="A14:A16"/>
    <mergeCell ref="B14:B16"/>
    <mergeCell ref="C14:L14"/>
    <mergeCell ref="M14:M16"/>
    <mergeCell ref="C15:D15"/>
    <mergeCell ref="E15:F15"/>
    <mergeCell ref="G15:H15"/>
    <mergeCell ref="I15:J15"/>
    <mergeCell ref="K15:L15"/>
  </mergeCells>
  <phoneticPr fontId="0" type="noConversion"/>
  <pageMargins left="0.7" right="0.7" top="0.75" bottom="0.75" header="0.3" footer="0.3"/>
  <pageSetup paperSize="9" scale="4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7"/>
  <sheetViews>
    <sheetView zoomScale="70" zoomScaleNormal="70" workbookViewId="0">
      <selection activeCell="C13" sqref="C13:L13"/>
    </sheetView>
  </sheetViews>
  <sheetFormatPr defaultColWidth="9" defaultRowHeight="15.75" x14ac:dyDescent="0.25"/>
  <cols>
    <col min="1" max="1" width="7.25" style="1" customWidth="1"/>
    <col min="2" max="2" width="25.25" style="1" customWidth="1"/>
    <col min="3" max="3" width="8" style="1" customWidth="1"/>
    <col min="4" max="4" width="7.25" style="1" customWidth="1"/>
    <col min="5" max="5" width="7.125" style="1" customWidth="1"/>
    <col min="6" max="6" width="7.875" style="1" customWidth="1"/>
    <col min="7" max="7" width="7.625" style="1" customWidth="1"/>
    <col min="8" max="9" width="7.25" style="1" customWidth="1"/>
    <col min="10" max="10" width="8.375" style="1" customWidth="1"/>
    <col min="11" max="11" width="7.875" style="1" customWidth="1"/>
    <col min="12" max="12" width="8.25" style="1" customWidth="1"/>
    <col min="13" max="13" width="7.875" style="1" customWidth="1"/>
    <col min="14" max="14" width="7.25" style="1" customWidth="1"/>
    <col min="15" max="15" width="7.375" style="1" customWidth="1"/>
    <col min="16" max="16" width="7.75" style="1" customWidth="1"/>
    <col min="17" max="17" width="8" style="1" customWidth="1"/>
    <col min="18" max="18" width="8.125" style="1" customWidth="1"/>
    <col min="19" max="20" width="8" style="1" customWidth="1"/>
    <col min="21" max="21" width="8.875" style="1" customWidth="1"/>
    <col min="22" max="22" width="10.25" style="1" customWidth="1"/>
    <col min="23" max="16384" width="9" style="1"/>
  </cols>
  <sheetData>
    <row r="1" spans="1:22" x14ac:dyDescent="0.25">
      <c r="M1" s="4"/>
      <c r="V1" s="437" t="s">
        <v>265</v>
      </c>
    </row>
    <row r="2" spans="1:22" x14ac:dyDescent="0.25">
      <c r="M2" s="4"/>
      <c r="V2" s="437" t="s">
        <v>91</v>
      </c>
    </row>
    <row r="3" spans="1:22" x14ac:dyDescent="0.25">
      <c r="M3" s="4"/>
      <c r="V3" s="437" t="s">
        <v>106</v>
      </c>
    </row>
    <row r="4" spans="1:22" x14ac:dyDescent="0.25">
      <c r="M4" s="4"/>
      <c r="V4" s="4"/>
    </row>
    <row r="5" spans="1:22" ht="31.5" customHeight="1" x14ac:dyDescent="0.25">
      <c r="A5" s="1079" t="s">
        <v>327</v>
      </c>
      <c r="B5" s="907"/>
      <c r="C5" s="907"/>
      <c r="D5" s="907"/>
      <c r="E5" s="907"/>
      <c r="F5" s="907"/>
      <c r="G5" s="907"/>
      <c r="H5" s="907"/>
      <c r="I5" s="907"/>
      <c r="J5" s="907"/>
      <c r="K5" s="907"/>
      <c r="L5" s="907"/>
      <c r="M5" s="907"/>
      <c r="N5" s="907"/>
      <c r="O5" s="907"/>
      <c r="P5" s="907"/>
      <c r="Q5" s="907"/>
      <c r="R5" s="907"/>
      <c r="S5" s="907"/>
      <c r="T5" s="907"/>
      <c r="U5" s="907"/>
      <c r="V5" s="907"/>
    </row>
    <row r="6" spans="1:22" x14ac:dyDescent="0.25">
      <c r="M6" s="4"/>
      <c r="V6" s="437" t="s">
        <v>92</v>
      </c>
    </row>
    <row r="7" spans="1:22" x14ac:dyDescent="0.25">
      <c r="M7" s="4"/>
      <c r="V7" s="437" t="s">
        <v>414</v>
      </c>
    </row>
    <row r="8" spans="1:22" x14ac:dyDescent="0.25">
      <c r="M8" s="4"/>
      <c r="V8" s="4"/>
    </row>
    <row r="9" spans="1:22" x14ac:dyDescent="0.25">
      <c r="M9" s="4"/>
      <c r="V9" s="437" t="s">
        <v>622</v>
      </c>
    </row>
    <row r="10" spans="1:22" x14ac:dyDescent="0.25">
      <c r="M10" s="4"/>
      <c r="V10" s="437" t="s">
        <v>623</v>
      </c>
    </row>
    <row r="11" spans="1:22" x14ac:dyDescent="0.25">
      <c r="M11" s="4"/>
      <c r="V11" s="462" t="s">
        <v>96</v>
      </c>
    </row>
    <row r="12" spans="1:22" ht="16.5" thickBot="1" x14ac:dyDescent="0.3"/>
    <row r="13" spans="1:22" ht="15.75" customHeight="1" x14ac:dyDescent="0.25">
      <c r="A13" s="1126" t="s">
        <v>416</v>
      </c>
      <c r="B13" s="1126" t="s">
        <v>471</v>
      </c>
      <c r="C13" s="1129" t="s">
        <v>461</v>
      </c>
      <c r="D13" s="1130"/>
      <c r="E13" s="1130"/>
      <c r="F13" s="1130"/>
      <c r="G13" s="1130"/>
      <c r="H13" s="1130"/>
      <c r="I13" s="1130"/>
      <c r="J13" s="1130"/>
      <c r="K13" s="1130"/>
      <c r="L13" s="1110"/>
      <c r="M13" s="1129" t="s">
        <v>531</v>
      </c>
      <c r="N13" s="1130"/>
      <c r="O13" s="1130"/>
      <c r="P13" s="1130"/>
      <c r="Q13" s="1130"/>
      <c r="R13" s="1130"/>
      <c r="S13" s="1130"/>
      <c r="T13" s="1130"/>
      <c r="U13" s="1130"/>
      <c r="V13" s="1110"/>
    </row>
    <row r="14" spans="1:22" ht="15.75" customHeight="1" x14ac:dyDescent="0.25">
      <c r="A14" s="1127"/>
      <c r="B14" s="1127"/>
      <c r="C14" s="1131" t="s">
        <v>529</v>
      </c>
      <c r="D14" s="1132"/>
      <c r="E14" s="1132"/>
      <c r="F14" s="1132"/>
      <c r="G14" s="1133"/>
      <c r="H14" s="1134" t="s">
        <v>440</v>
      </c>
      <c r="I14" s="1132"/>
      <c r="J14" s="1132"/>
      <c r="K14" s="1132"/>
      <c r="L14" s="1135"/>
      <c r="M14" s="1131" t="s">
        <v>529</v>
      </c>
      <c r="N14" s="1132"/>
      <c r="O14" s="1132"/>
      <c r="P14" s="1132"/>
      <c r="Q14" s="1133"/>
      <c r="R14" s="1134" t="s">
        <v>440</v>
      </c>
      <c r="S14" s="1132"/>
      <c r="T14" s="1132"/>
      <c r="U14" s="1132"/>
      <c r="V14" s="1135"/>
    </row>
    <row r="15" spans="1:22" ht="15.75" customHeight="1" x14ac:dyDescent="0.25">
      <c r="A15" s="1127"/>
      <c r="B15" s="1127"/>
      <c r="C15" s="1136" t="s">
        <v>472</v>
      </c>
      <c r="D15" s="1137"/>
      <c r="E15" s="1137"/>
      <c r="F15" s="1137"/>
      <c r="G15" s="924"/>
      <c r="H15" s="923" t="s">
        <v>472</v>
      </c>
      <c r="I15" s="1137"/>
      <c r="J15" s="1137"/>
      <c r="K15" s="1137"/>
      <c r="L15" s="1138"/>
      <c r="M15" s="1136" t="s">
        <v>472</v>
      </c>
      <c r="N15" s="1137"/>
      <c r="O15" s="1137"/>
      <c r="P15" s="1137"/>
      <c r="Q15" s="924"/>
      <c r="R15" s="923" t="s">
        <v>472</v>
      </c>
      <c r="S15" s="1137"/>
      <c r="T15" s="1137"/>
      <c r="U15" s="1137"/>
      <c r="V15" s="1138"/>
    </row>
    <row r="16" spans="1:22" ht="15.6" customHeight="1" thickBot="1" x14ac:dyDescent="0.3">
      <c r="A16" s="1128"/>
      <c r="B16" s="1128"/>
      <c r="C16" s="123" t="s">
        <v>473</v>
      </c>
      <c r="D16" s="99" t="s">
        <v>474</v>
      </c>
      <c r="E16" s="99" t="s">
        <v>475</v>
      </c>
      <c r="F16" s="99" t="s">
        <v>476</v>
      </c>
      <c r="G16" s="99" t="s">
        <v>551</v>
      </c>
      <c r="H16" s="99" t="s">
        <v>473</v>
      </c>
      <c r="I16" s="99" t="s">
        <v>474</v>
      </c>
      <c r="J16" s="99" t="s">
        <v>475</v>
      </c>
      <c r="K16" s="99" t="s">
        <v>476</v>
      </c>
      <c r="L16" s="100" t="s">
        <v>551</v>
      </c>
      <c r="M16" s="124" t="s">
        <v>473</v>
      </c>
      <c r="N16" s="99" t="s">
        <v>474</v>
      </c>
      <c r="O16" s="99" t="s">
        <v>475</v>
      </c>
      <c r="P16" s="99" t="s">
        <v>476</v>
      </c>
      <c r="Q16" s="99" t="s">
        <v>551</v>
      </c>
      <c r="R16" s="99" t="s">
        <v>473</v>
      </c>
      <c r="S16" s="99" t="s">
        <v>474</v>
      </c>
      <c r="T16" s="99" t="s">
        <v>475</v>
      </c>
      <c r="U16" s="99" t="s">
        <v>476</v>
      </c>
      <c r="V16" s="100" t="s">
        <v>551</v>
      </c>
    </row>
    <row r="17" spans="1:22" x14ac:dyDescent="0.25">
      <c r="A17" s="109">
        <v>1</v>
      </c>
      <c r="B17" s="109">
        <v>2</v>
      </c>
      <c r="C17" s="106">
        <v>3</v>
      </c>
      <c r="D17" s="107">
        <v>4</v>
      </c>
      <c r="E17" s="107">
        <v>5</v>
      </c>
      <c r="F17" s="107">
        <v>6</v>
      </c>
      <c r="G17" s="107">
        <v>7</v>
      </c>
      <c r="H17" s="108">
        <v>8</v>
      </c>
      <c r="I17" s="108">
        <v>9</v>
      </c>
      <c r="J17" s="108">
        <v>10</v>
      </c>
      <c r="K17" s="108">
        <v>11</v>
      </c>
      <c r="L17" s="110">
        <v>12</v>
      </c>
      <c r="M17" s="106">
        <v>13</v>
      </c>
      <c r="N17" s="107">
        <v>14</v>
      </c>
      <c r="O17" s="107">
        <v>15</v>
      </c>
      <c r="P17" s="107">
        <v>16</v>
      </c>
      <c r="Q17" s="107">
        <v>17</v>
      </c>
      <c r="R17" s="108">
        <v>18</v>
      </c>
      <c r="S17" s="108">
        <v>19</v>
      </c>
      <c r="T17" s="108">
        <v>20</v>
      </c>
      <c r="U17" s="108">
        <v>21</v>
      </c>
      <c r="V17" s="110">
        <v>22</v>
      </c>
    </row>
    <row r="18" spans="1:22" ht="16.5" thickBot="1" x14ac:dyDescent="0.3">
      <c r="A18" s="42"/>
      <c r="B18" s="43"/>
      <c r="C18" s="44"/>
      <c r="D18" s="35"/>
      <c r="E18" s="35"/>
      <c r="F18" s="35"/>
      <c r="G18" s="35"/>
      <c r="H18" s="35"/>
      <c r="I18" s="35"/>
      <c r="J18" s="35"/>
      <c r="K18" s="35"/>
      <c r="L18" s="45"/>
      <c r="M18" s="44"/>
      <c r="N18" s="35"/>
      <c r="O18" s="35"/>
      <c r="P18" s="35"/>
      <c r="Q18" s="37"/>
      <c r="R18" s="37"/>
      <c r="S18" s="37"/>
      <c r="T18" s="37"/>
      <c r="U18" s="37"/>
      <c r="V18" s="38"/>
    </row>
    <row r="19" spans="1:22" x14ac:dyDescent="0.25">
      <c r="A19" s="29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3"/>
    </row>
    <row r="20" spans="1:22" x14ac:dyDescent="0.25">
      <c r="B20" s="1" t="s">
        <v>528</v>
      </c>
    </row>
    <row r="22" spans="1:22" x14ac:dyDescent="0.25">
      <c r="M22" s="13"/>
      <c r="N22" s="13"/>
      <c r="O22" s="13"/>
      <c r="P22" s="13"/>
    </row>
    <row r="23" spans="1:22" x14ac:dyDescent="0.25">
      <c r="M23" s="13"/>
      <c r="N23" s="1125"/>
      <c r="O23" s="1125"/>
      <c r="P23" s="13"/>
    </row>
    <row r="24" spans="1:22" x14ac:dyDescent="0.25">
      <c r="M24" s="13"/>
      <c r="N24" s="13"/>
      <c r="O24" s="13"/>
      <c r="P24" s="13"/>
    </row>
    <row r="25" spans="1:22" x14ac:dyDescent="0.25">
      <c r="A25" s="20"/>
    </row>
    <row r="27" spans="1:22" x14ac:dyDescent="0.25">
      <c r="A27" s="17"/>
    </row>
  </sheetData>
  <mergeCells count="14">
    <mergeCell ref="N23:O23"/>
    <mergeCell ref="A5:V5"/>
    <mergeCell ref="A13:A16"/>
    <mergeCell ref="B13:B16"/>
    <mergeCell ref="C13:L13"/>
    <mergeCell ref="M13:V13"/>
    <mergeCell ref="C14:G14"/>
    <mergeCell ref="H14:L14"/>
    <mergeCell ref="M14:Q14"/>
    <mergeCell ref="R14:V14"/>
    <mergeCell ref="C15:G15"/>
    <mergeCell ref="H15:L15"/>
    <mergeCell ref="M15:Q15"/>
    <mergeCell ref="R15:V15"/>
  </mergeCells>
  <phoneticPr fontId="0" type="noConversion"/>
  <pageMargins left="0.7" right="0.7" top="0.75" bottom="0.75" header="0.3" footer="0.3"/>
  <pageSetup paperSize="9" scale="6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100"/>
  <sheetViews>
    <sheetView zoomScale="90" zoomScaleNormal="90" workbookViewId="0">
      <selection activeCell="H13" sqref="H13:K13"/>
    </sheetView>
  </sheetViews>
  <sheetFormatPr defaultColWidth="9" defaultRowHeight="15.75" x14ac:dyDescent="0.25"/>
  <cols>
    <col min="1" max="2" width="57.875" style="226" customWidth="1"/>
    <col min="3" max="16384" width="9" style="228"/>
  </cols>
  <sheetData>
    <row r="1" spans="1:2" x14ac:dyDescent="0.25">
      <c r="B1" s="473" t="s">
        <v>108</v>
      </c>
    </row>
    <row r="2" spans="1:2" x14ac:dyDescent="0.25">
      <c r="B2" s="473" t="s">
        <v>91</v>
      </c>
    </row>
    <row r="3" spans="1:2" x14ac:dyDescent="0.25">
      <c r="B3" s="473" t="s">
        <v>106</v>
      </c>
    </row>
    <row r="4" spans="1:2" x14ac:dyDescent="0.25">
      <c r="B4" s="227"/>
    </row>
    <row r="5" spans="1:2" ht="30.75" customHeight="1" x14ac:dyDescent="0.25">
      <c r="A5" s="1139" t="s">
        <v>328</v>
      </c>
      <c r="B5" s="1140"/>
    </row>
    <row r="6" spans="1:2" x14ac:dyDescent="0.25">
      <c r="B6" s="227"/>
    </row>
    <row r="7" spans="1:2" x14ac:dyDescent="0.25">
      <c r="B7" s="437" t="s">
        <v>92</v>
      </c>
    </row>
    <row r="8" spans="1:2" x14ac:dyDescent="0.25">
      <c r="B8" s="437" t="s">
        <v>414</v>
      </c>
    </row>
    <row r="9" spans="1:2" x14ac:dyDescent="0.25">
      <c r="B9" s="4"/>
    </row>
    <row r="10" spans="1:2" x14ac:dyDescent="0.25">
      <c r="B10" s="437" t="s">
        <v>622</v>
      </c>
    </row>
    <row r="11" spans="1:2" x14ac:dyDescent="0.25">
      <c r="B11" s="437" t="s">
        <v>623</v>
      </c>
    </row>
    <row r="12" spans="1:2" x14ac:dyDescent="0.25">
      <c r="B12" s="462" t="s">
        <v>96</v>
      </c>
    </row>
    <row r="13" spans="1:2" ht="16.5" thickBot="1" x14ac:dyDescent="0.3">
      <c r="B13" s="229"/>
    </row>
    <row r="14" spans="1:2" ht="16.5" thickBot="1" x14ac:dyDescent="0.3">
      <c r="A14" s="230" t="s">
        <v>454</v>
      </c>
      <c r="B14" s="231"/>
    </row>
    <row r="15" spans="1:2" ht="16.5" thickBot="1" x14ac:dyDescent="0.3">
      <c r="A15" s="230" t="s">
        <v>132</v>
      </c>
      <c r="B15" s="231"/>
    </row>
    <row r="16" spans="1:2" ht="16.5" thickBot="1" x14ac:dyDescent="0.3">
      <c r="A16" s="230" t="s">
        <v>133</v>
      </c>
      <c r="B16" s="232" t="s">
        <v>134</v>
      </c>
    </row>
    <row r="17" spans="1:2" ht="16.5" thickBot="1" x14ac:dyDescent="0.3">
      <c r="A17" s="230" t="s">
        <v>135</v>
      </c>
      <c r="B17" s="232"/>
    </row>
    <row r="18" spans="1:2" ht="16.5" thickBot="1" x14ac:dyDescent="0.3">
      <c r="A18" s="233" t="s">
        <v>136</v>
      </c>
      <c r="B18" s="231" t="s">
        <v>137</v>
      </c>
    </row>
    <row r="19" spans="1:2" ht="30.75" thickBot="1" x14ac:dyDescent="0.3">
      <c r="A19" s="234" t="s">
        <v>138</v>
      </c>
      <c r="B19" s="235" t="s">
        <v>139</v>
      </c>
    </row>
    <row r="20" spans="1:2" ht="16.5" thickBot="1" x14ac:dyDescent="0.3">
      <c r="A20" s="236" t="s">
        <v>140</v>
      </c>
      <c r="B20" s="237"/>
    </row>
    <row r="21" spans="1:2" ht="30.75" thickBot="1" x14ac:dyDescent="0.3">
      <c r="A21" s="237" t="s">
        <v>141</v>
      </c>
      <c r="B21" s="237"/>
    </row>
    <row r="22" spans="1:2" ht="60.75" thickBot="1" x14ac:dyDescent="0.3">
      <c r="A22" s="238" t="s">
        <v>142</v>
      </c>
      <c r="B22" s="237"/>
    </row>
    <row r="23" spans="1:2" ht="60.75" thickBot="1" x14ac:dyDescent="0.3">
      <c r="A23" s="239" t="s">
        <v>143</v>
      </c>
      <c r="B23" s="237"/>
    </row>
    <row r="24" spans="1:2" ht="16.5" thickBot="1" x14ac:dyDescent="0.3">
      <c r="A24" s="233" t="s">
        <v>144</v>
      </c>
      <c r="B24" s="237"/>
    </row>
    <row r="25" spans="1:2" ht="30.75" thickBot="1" x14ac:dyDescent="0.3">
      <c r="A25" s="239" t="s">
        <v>145</v>
      </c>
      <c r="B25" s="237"/>
    </row>
    <row r="26" spans="1:2" ht="16.5" thickBot="1" x14ac:dyDescent="0.3">
      <c r="A26" s="233" t="s">
        <v>146</v>
      </c>
      <c r="B26" s="237"/>
    </row>
    <row r="27" spans="1:2" ht="30.75" thickBot="1" x14ac:dyDescent="0.3">
      <c r="A27" s="240" t="s">
        <v>147</v>
      </c>
      <c r="B27" s="237"/>
    </row>
    <row r="28" spans="1:2" ht="16.5" thickBot="1" x14ac:dyDescent="0.3">
      <c r="A28" s="233" t="s">
        <v>148</v>
      </c>
      <c r="B28" s="235" t="s">
        <v>149</v>
      </c>
    </row>
    <row r="29" spans="1:2" ht="16.5" thickBot="1" x14ac:dyDescent="0.3">
      <c r="A29" s="236" t="s">
        <v>150</v>
      </c>
      <c r="B29" s="235"/>
    </row>
    <row r="30" spans="1:2" ht="90.75" thickBot="1" x14ac:dyDescent="0.3">
      <c r="A30" s="233" t="s">
        <v>151</v>
      </c>
      <c r="B30" s="241" t="s">
        <v>152</v>
      </c>
    </row>
    <row r="31" spans="1:2" ht="28.5" x14ac:dyDescent="0.25">
      <c r="A31" s="236" t="s">
        <v>153</v>
      </c>
      <c r="B31" s="238"/>
    </row>
    <row r="32" spans="1:2" ht="45" x14ac:dyDescent="0.25">
      <c r="A32" s="242" t="s">
        <v>154</v>
      </c>
      <c r="B32" s="242"/>
    </row>
    <row r="33" spans="1:2" x14ac:dyDescent="0.25">
      <c r="A33" s="242" t="s">
        <v>155</v>
      </c>
      <c r="B33" s="242"/>
    </row>
    <row r="34" spans="1:2" x14ac:dyDescent="0.25">
      <c r="A34" s="242" t="s">
        <v>156</v>
      </c>
      <c r="B34" s="242"/>
    </row>
    <row r="35" spans="1:2" ht="16.5" thickBot="1" x14ac:dyDescent="0.3">
      <c r="A35" s="243" t="s">
        <v>157</v>
      </c>
      <c r="B35" s="244"/>
    </row>
    <row r="36" spans="1:2" ht="29.25" thickBot="1" x14ac:dyDescent="0.3">
      <c r="A36" s="245" t="s">
        <v>158</v>
      </c>
      <c r="B36" s="237"/>
    </row>
    <row r="37" spans="1:2" ht="16.5" thickBot="1" x14ac:dyDescent="0.3">
      <c r="A37" s="237" t="s">
        <v>159</v>
      </c>
      <c r="B37" s="237"/>
    </row>
    <row r="38" spans="1:2" ht="29.25" thickBot="1" x14ac:dyDescent="0.3">
      <c r="A38" s="246" t="s">
        <v>160</v>
      </c>
      <c r="B38" s="237"/>
    </row>
    <row r="39" spans="1:2" ht="29.25" thickBot="1" x14ac:dyDescent="0.3">
      <c r="A39" s="246" t="s">
        <v>161</v>
      </c>
      <c r="B39" s="237"/>
    </row>
    <row r="40" spans="1:2" ht="16.5" thickBot="1" x14ac:dyDescent="0.3">
      <c r="A40" s="237" t="s">
        <v>486</v>
      </c>
      <c r="B40" s="237"/>
    </row>
    <row r="41" spans="1:2" ht="29.25" thickBot="1" x14ac:dyDescent="0.3">
      <c r="A41" s="246" t="s">
        <v>162</v>
      </c>
      <c r="B41" s="237"/>
    </row>
    <row r="42" spans="1:2" ht="16.5" thickBot="1" x14ac:dyDescent="0.3">
      <c r="A42" s="237" t="s">
        <v>163</v>
      </c>
      <c r="B42" s="237"/>
    </row>
    <row r="43" spans="1:2" ht="16.5" thickBot="1" x14ac:dyDescent="0.3">
      <c r="A43" s="237" t="s">
        <v>164</v>
      </c>
      <c r="B43" s="237"/>
    </row>
    <row r="44" spans="1:2" ht="16.5" thickBot="1" x14ac:dyDescent="0.3">
      <c r="A44" s="237" t="s">
        <v>165</v>
      </c>
      <c r="B44" s="237"/>
    </row>
    <row r="45" spans="1:2" ht="16.5" thickBot="1" x14ac:dyDescent="0.3">
      <c r="A45" s="237" t="s">
        <v>166</v>
      </c>
      <c r="B45" s="237"/>
    </row>
    <row r="46" spans="1:2" ht="29.25" thickBot="1" x14ac:dyDescent="0.3">
      <c r="A46" s="246" t="s">
        <v>167</v>
      </c>
      <c r="B46" s="237"/>
    </row>
    <row r="47" spans="1:2" ht="16.5" thickBot="1" x14ac:dyDescent="0.3">
      <c r="A47" s="237" t="s">
        <v>163</v>
      </c>
      <c r="B47" s="237"/>
    </row>
    <row r="48" spans="1:2" ht="16.5" thickBot="1" x14ac:dyDescent="0.3">
      <c r="A48" s="237" t="s">
        <v>164</v>
      </c>
      <c r="B48" s="237"/>
    </row>
    <row r="49" spans="1:2" ht="16.5" thickBot="1" x14ac:dyDescent="0.3">
      <c r="A49" s="237" t="s">
        <v>165</v>
      </c>
      <c r="B49" s="237"/>
    </row>
    <row r="50" spans="1:2" ht="16.5" thickBot="1" x14ac:dyDescent="0.3">
      <c r="A50" s="237" t="s">
        <v>166</v>
      </c>
      <c r="B50" s="237"/>
    </row>
    <row r="51" spans="1:2" ht="29.25" thickBot="1" x14ac:dyDescent="0.3">
      <c r="A51" s="246" t="s">
        <v>168</v>
      </c>
      <c r="B51" s="237"/>
    </row>
    <row r="52" spans="1:2" ht="16.5" thickBot="1" x14ac:dyDescent="0.3">
      <c r="A52" s="237" t="s">
        <v>163</v>
      </c>
      <c r="B52" s="237"/>
    </row>
    <row r="53" spans="1:2" ht="16.5" thickBot="1" x14ac:dyDescent="0.3">
      <c r="A53" s="237" t="s">
        <v>164</v>
      </c>
      <c r="B53" s="237"/>
    </row>
    <row r="54" spans="1:2" ht="16.5" thickBot="1" x14ac:dyDescent="0.3">
      <c r="A54" s="237" t="s">
        <v>165</v>
      </c>
      <c r="B54" s="237"/>
    </row>
    <row r="55" spans="1:2" ht="16.5" thickBot="1" x14ac:dyDescent="0.3">
      <c r="A55" s="237" t="s">
        <v>166</v>
      </c>
      <c r="B55" s="237"/>
    </row>
    <row r="56" spans="1:2" ht="29.25" thickBot="1" x14ac:dyDescent="0.3">
      <c r="A56" s="236" t="s">
        <v>169</v>
      </c>
      <c r="B56" s="247"/>
    </row>
    <row r="57" spans="1:2" ht="16.5" thickBot="1" x14ac:dyDescent="0.3">
      <c r="A57" s="238" t="s">
        <v>486</v>
      </c>
      <c r="B57" s="247"/>
    </row>
    <row r="58" spans="1:2" ht="16.5" thickBot="1" x14ac:dyDescent="0.3">
      <c r="A58" s="238" t="s">
        <v>170</v>
      </c>
      <c r="B58" s="247"/>
    </row>
    <row r="59" spans="1:2" ht="16.5" thickBot="1" x14ac:dyDescent="0.3">
      <c r="A59" s="238" t="s">
        <v>171</v>
      </c>
      <c r="B59" s="247"/>
    </row>
    <row r="60" spans="1:2" ht="16.5" thickBot="1" x14ac:dyDescent="0.3">
      <c r="A60" s="238" t="s">
        <v>172</v>
      </c>
      <c r="B60" s="247"/>
    </row>
    <row r="61" spans="1:2" ht="16.5" thickBot="1" x14ac:dyDescent="0.3">
      <c r="A61" s="233" t="s">
        <v>173</v>
      </c>
      <c r="B61" s="248"/>
    </row>
    <row r="62" spans="1:2" ht="16.5" thickBot="1" x14ac:dyDescent="0.3">
      <c r="A62" s="233" t="s">
        <v>174</v>
      </c>
      <c r="B62" s="248"/>
    </row>
    <row r="63" spans="1:2" ht="16.5" thickBot="1" x14ac:dyDescent="0.3">
      <c r="A63" s="233" t="s">
        <v>175</v>
      </c>
      <c r="B63" s="248"/>
    </row>
    <row r="64" spans="1:2" ht="16.5" thickBot="1" x14ac:dyDescent="0.3">
      <c r="A64" s="234" t="s">
        <v>176</v>
      </c>
      <c r="B64" s="235"/>
    </row>
    <row r="65" spans="1:2" x14ac:dyDescent="0.25">
      <c r="A65" s="236" t="s">
        <v>177</v>
      </c>
      <c r="B65" s="1141" t="s">
        <v>178</v>
      </c>
    </row>
    <row r="66" spans="1:2" x14ac:dyDescent="0.25">
      <c r="A66" s="242" t="s">
        <v>179</v>
      </c>
      <c r="B66" s="1142"/>
    </row>
    <row r="67" spans="1:2" x14ac:dyDescent="0.25">
      <c r="A67" s="242" t="s">
        <v>180</v>
      </c>
      <c r="B67" s="1142"/>
    </row>
    <row r="68" spans="1:2" x14ac:dyDescent="0.25">
      <c r="A68" s="242" t="s">
        <v>181</v>
      </c>
      <c r="B68" s="1142"/>
    </row>
    <row r="69" spans="1:2" x14ac:dyDescent="0.25">
      <c r="A69" s="242" t="s">
        <v>182</v>
      </c>
      <c r="B69" s="1142"/>
    </row>
    <row r="70" spans="1:2" ht="16.5" thickBot="1" x14ac:dyDescent="0.3">
      <c r="A70" s="244" t="s">
        <v>183</v>
      </c>
      <c r="B70" s="1143"/>
    </row>
    <row r="71" spans="1:2" ht="30.75" thickBot="1" x14ac:dyDescent="0.3">
      <c r="A71" s="238" t="s">
        <v>184</v>
      </c>
      <c r="B71" s="239"/>
    </row>
    <row r="72" spans="1:2" ht="29.25" thickBot="1" x14ac:dyDescent="0.3">
      <c r="A72" s="233" t="s">
        <v>185</v>
      </c>
      <c r="B72" s="239"/>
    </row>
    <row r="73" spans="1:2" ht="16.5" thickBot="1" x14ac:dyDescent="0.3">
      <c r="A73" s="238" t="s">
        <v>486</v>
      </c>
      <c r="B73" s="250"/>
    </row>
    <row r="74" spans="1:2" ht="16.5" thickBot="1" x14ac:dyDescent="0.3">
      <c r="A74" s="238" t="s">
        <v>186</v>
      </c>
      <c r="B74" s="239"/>
    </row>
    <row r="75" spans="1:2" ht="16.5" thickBot="1" x14ac:dyDescent="0.3">
      <c r="A75" s="238" t="s">
        <v>187</v>
      </c>
      <c r="B75" s="250"/>
    </row>
    <row r="76" spans="1:2" ht="30.75" thickBot="1" x14ac:dyDescent="0.3">
      <c r="A76" s="251" t="s">
        <v>188</v>
      </c>
      <c r="B76" s="249" t="s">
        <v>189</v>
      </c>
    </row>
    <row r="77" spans="1:2" ht="16.5" thickBot="1" x14ac:dyDescent="0.3">
      <c r="A77" s="233" t="s">
        <v>190</v>
      </c>
      <c r="B77" s="248"/>
    </row>
    <row r="78" spans="1:2" ht="16.5" thickBot="1" x14ac:dyDescent="0.3">
      <c r="A78" s="242" t="s">
        <v>191</v>
      </c>
      <c r="B78" s="252"/>
    </row>
    <row r="79" spans="1:2" ht="16.5" thickBot="1" x14ac:dyDescent="0.3">
      <c r="A79" s="242" t="s">
        <v>192</v>
      </c>
      <c r="B79" s="252"/>
    </row>
    <row r="80" spans="1:2" ht="16.5" thickBot="1" x14ac:dyDescent="0.3">
      <c r="A80" s="242" t="s">
        <v>193</v>
      </c>
      <c r="B80" s="252"/>
    </row>
    <row r="81" spans="1:2" ht="45.75" thickBot="1" x14ac:dyDescent="0.3">
      <c r="A81" s="253" t="s">
        <v>194</v>
      </c>
      <c r="B81" s="250" t="s">
        <v>195</v>
      </c>
    </row>
    <row r="82" spans="1:2" ht="28.5" x14ac:dyDescent="0.25">
      <c r="A82" s="236" t="s">
        <v>196</v>
      </c>
      <c r="B82" s="1141" t="s">
        <v>197</v>
      </c>
    </row>
    <row r="83" spans="1:2" x14ac:dyDescent="0.25">
      <c r="A83" s="242" t="s">
        <v>198</v>
      </c>
      <c r="B83" s="1142"/>
    </row>
    <row r="84" spans="1:2" x14ac:dyDescent="0.25">
      <c r="A84" s="242" t="s">
        <v>199</v>
      </c>
      <c r="B84" s="1142"/>
    </row>
    <row r="85" spans="1:2" x14ac:dyDescent="0.25">
      <c r="A85" s="242" t="s">
        <v>200</v>
      </c>
      <c r="B85" s="1142"/>
    </row>
    <row r="86" spans="1:2" x14ac:dyDescent="0.25">
      <c r="A86" s="242" t="s">
        <v>201</v>
      </c>
      <c r="B86" s="1142"/>
    </row>
    <row r="87" spans="1:2" ht="16.5" thickBot="1" x14ac:dyDescent="0.3">
      <c r="A87" s="254" t="s">
        <v>202</v>
      </c>
      <c r="B87" s="1143"/>
    </row>
    <row r="89" spans="1:2" x14ac:dyDescent="0.25">
      <c r="A89" s="255" t="s">
        <v>203</v>
      </c>
      <c r="B89" s="255"/>
    </row>
    <row r="90" spans="1:2" x14ac:dyDescent="0.25">
      <c r="A90" s="226" t="s">
        <v>204</v>
      </c>
    </row>
    <row r="91" spans="1:2" x14ac:dyDescent="0.25">
      <c r="A91" s="226" t="s">
        <v>205</v>
      </c>
    </row>
    <row r="92" spans="1:2" x14ac:dyDescent="0.25">
      <c r="A92" s="226" t="s">
        <v>206</v>
      </c>
    </row>
    <row r="93" spans="1:2" x14ac:dyDescent="0.25">
      <c r="A93" s="226" t="s">
        <v>207</v>
      </c>
    </row>
    <row r="94" spans="1:2" x14ac:dyDescent="0.25">
      <c r="A94" s="226" t="s">
        <v>208</v>
      </c>
    </row>
    <row r="95" spans="1:2" x14ac:dyDescent="0.25">
      <c r="A95" s="226" t="s">
        <v>209</v>
      </c>
    </row>
    <row r="96" spans="1:2" x14ac:dyDescent="0.25">
      <c r="A96" s="1144" t="s">
        <v>210</v>
      </c>
      <c r="B96" s="1144"/>
    </row>
    <row r="98" spans="1:2" x14ac:dyDescent="0.25">
      <c r="A98" s="256"/>
      <c r="B98" s="257"/>
    </row>
    <row r="99" spans="1:2" x14ac:dyDescent="0.25">
      <c r="B99" s="258"/>
    </row>
    <row r="100" spans="1:2" x14ac:dyDescent="0.25">
      <c r="B100" s="259"/>
    </row>
  </sheetData>
  <mergeCells count="4">
    <mergeCell ref="A5:B5"/>
    <mergeCell ref="B65:B70"/>
    <mergeCell ref="B82:B87"/>
    <mergeCell ref="A96:B96"/>
  </mergeCells>
  <phoneticPr fontId="0" type="noConversion"/>
  <pageMargins left="0.7" right="0.7" top="0.75" bottom="0.75" header="0.3" footer="0.3"/>
  <pageSetup paperSize="9" scale="65" fitToHeight="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8"/>
  <sheetViews>
    <sheetView topLeftCell="A7" zoomScale="80" zoomScaleNormal="80" workbookViewId="0">
      <selection activeCell="A13" sqref="A13:K13"/>
    </sheetView>
  </sheetViews>
  <sheetFormatPr defaultColWidth="9" defaultRowHeight="15.75" x14ac:dyDescent="0.25"/>
  <cols>
    <col min="1" max="1" width="13.875" style="1" customWidth="1"/>
    <col min="2" max="2" width="31.75" style="17" customWidth="1"/>
    <col min="3" max="6" width="11.75" style="17" customWidth="1"/>
    <col min="7" max="8" width="20" style="17" customWidth="1"/>
    <col min="9" max="9" width="15.625" style="17" customWidth="1"/>
    <col min="10" max="14" width="7.875" style="17" customWidth="1"/>
    <col min="15" max="15" width="9" style="17"/>
    <col min="16" max="16384" width="9" style="1"/>
  </cols>
  <sheetData>
    <row r="1" spans="1:14" x14ac:dyDescent="0.25">
      <c r="A1" s="17"/>
      <c r="B1" s="260"/>
      <c r="C1" s="260"/>
      <c r="D1" s="260"/>
      <c r="E1" s="260"/>
      <c r="F1" s="260"/>
      <c r="G1" s="260"/>
      <c r="H1" s="260"/>
      <c r="I1" s="260"/>
      <c r="N1" s="473" t="s">
        <v>319</v>
      </c>
    </row>
    <row r="2" spans="1:14" x14ac:dyDescent="0.25">
      <c r="A2" s="17"/>
      <c r="B2" s="260"/>
      <c r="C2" s="260"/>
      <c r="D2" s="260"/>
      <c r="E2" s="260"/>
      <c r="F2" s="260"/>
      <c r="G2" s="260"/>
      <c r="H2" s="260"/>
      <c r="I2" s="260"/>
      <c r="N2" s="473" t="s">
        <v>91</v>
      </c>
    </row>
    <row r="3" spans="1:14" x14ac:dyDescent="0.25">
      <c r="A3" s="17"/>
      <c r="B3" s="260"/>
      <c r="C3" s="260"/>
      <c r="D3" s="260"/>
      <c r="E3" s="260"/>
      <c r="F3" s="260"/>
      <c r="G3" s="260"/>
      <c r="H3" s="260"/>
      <c r="I3" s="260"/>
      <c r="N3" s="473" t="s">
        <v>106</v>
      </c>
    </row>
    <row r="4" spans="1:14" x14ac:dyDescent="0.25">
      <c r="A4" s="17"/>
      <c r="B4" s="260"/>
      <c r="C4" s="260"/>
      <c r="D4" s="260"/>
      <c r="E4" s="260"/>
      <c r="F4" s="260"/>
      <c r="G4" s="260"/>
      <c r="H4" s="260"/>
      <c r="I4" s="260"/>
      <c r="N4" s="473"/>
    </row>
    <row r="5" spans="1:14" ht="33" customHeight="1" x14ac:dyDescent="0.25">
      <c r="A5" s="1145" t="s">
        <v>329</v>
      </c>
      <c r="B5" s="1146"/>
      <c r="C5" s="1146"/>
      <c r="D5" s="1146"/>
      <c r="E5" s="1146"/>
      <c r="F5" s="1146"/>
      <c r="G5" s="1146"/>
      <c r="H5" s="1146"/>
      <c r="I5" s="1146"/>
      <c r="J5" s="1146"/>
      <c r="K5" s="1146"/>
      <c r="L5" s="1146"/>
      <c r="M5" s="1146"/>
      <c r="N5" s="1146"/>
    </row>
    <row r="6" spans="1:14" x14ac:dyDescent="0.25">
      <c r="A6" s="17"/>
      <c r="B6" s="260"/>
      <c r="C6" s="260"/>
      <c r="D6" s="260"/>
      <c r="E6" s="260"/>
      <c r="F6" s="260"/>
      <c r="G6" s="260"/>
      <c r="H6" s="260"/>
      <c r="I6" s="260"/>
    </row>
    <row r="7" spans="1:14" s="228" customFormat="1" x14ac:dyDescent="0.25">
      <c r="M7" s="226"/>
      <c r="N7" s="437" t="s">
        <v>92</v>
      </c>
    </row>
    <row r="8" spans="1:14" s="228" customFormat="1" x14ac:dyDescent="0.25">
      <c r="M8" s="226"/>
      <c r="N8" s="437" t="s">
        <v>414</v>
      </c>
    </row>
    <row r="9" spans="1:14" s="228" customFormat="1" x14ac:dyDescent="0.25">
      <c r="M9" s="226"/>
      <c r="N9" s="4"/>
    </row>
    <row r="10" spans="1:14" s="228" customFormat="1" x14ac:dyDescent="0.25">
      <c r="M10" s="226"/>
      <c r="N10" s="437" t="s">
        <v>622</v>
      </c>
    </row>
    <row r="11" spans="1:14" s="228" customFormat="1" x14ac:dyDescent="0.25">
      <c r="M11" s="226"/>
      <c r="N11" s="437" t="s">
        <v>623</v>
      </c>
    </row>
    <row r="12" spans="1:14" s="228" customFormat="1" x14ac:dyDescent="0.25">
      <c r="M12" s="226"/>
      <c r="N12" s="462" t="s">
        <v>96</v>
      </c>
    </row>
    <row r="13" spans="1:14" x14ac:dyDescent="0.25">
      <c r="A13" s="1147" t="s">
        <v>211</v>
      </c>
      <c r="B13" s="1147"/>
      <c r="C13" s="1147"/>
      <c r="D13" s="1147"/>
      <c r="E13" s="1147"/>
      <c r="F13" s="1147"/>
      <c r="G13" s="1147"/>
      <c r="H13" s="1147"/>
      <c r="I13" s="1147"/>
    </row>
    <row r="14" spans="1:14" x14ac:dyDescent="0.25">
      <c r="A14" s="260"/>
      <c r="B14" s="260"/>
      <c r="C14" s="260"/>
      <c r="D14" s="260"/>
      <c r="E14" s="260"/>
      <c r="F14" s="260"/>
      <c r="G14" s="260"/>
      <c r="H14" s="260"/>
      <c r="I14" s="260"/>
    </row>
    <row r="15" spans="1:14" ht="16.5" thickBot="1" x14ac:dyDescent="0.3">
      <c r="A15" s="1148" t="s">
        <v>556</v>
      </c>
      <c r="B15" s="1148"/>
      <c r="C15" s="1149"/>
      <c r="D15" s="1149"/>
      <c r="E15" s="1149"/>
      <c r="F15" s="1149"/>
      <c r="G15" s="1149"/>
      <c r="H15" s="1149"/>
      <c r="I15" s="1149"/>
    </row>
    <row r="16" spans="1:14" x14ac:dyDescent="0.25">
      <c r="A16" s="908" t="s">
        <v>212</v>
      </c>
      <c r="B16" s="1122" t="s">
        <v>213</v>
      </c>
      <c r="C16" s="1122" t="s">
        <v>214</v>
      </c>
      <c r="D16" s="1122"/>
      <c r="E16" s="1122"/>
      <c r="F16" s="1122"/>
      <c r="G16" s="1122" t="s">
        <v>215</v>
      </c>
      <c r="H16" s="1122" t="s">
        <v>216</v>
      </c>
      <c r="I16" s="1151" t="s">
        <v>217</v>
      </c>
      <c r="J16" s="1153" t="s">
        <v>218</v>
      </c>
      <c r="K16" s="1154"/>
      <c r="L16" s="1154"/>
      <c r="M16" s="1154"/>
      <c r="N16" s="1155"/>
    </row>
    <row r="17" spans="1:14" x14ac:dyDescent="0.25">
      <c r="A17" s="909"/>
      <c r="B17" s="1123"/>
      <c r="C17" s="1123" t="s">
        <v>219</v>
      </c>
      <c r="D17" s="1123"/>
      <c r="E17" s="1123" t="s">
        <v>220</v>
      </c>
      <c r="F17" s="1123"/>
      <c r="G17" s="1123"/>
      <c r="H17" s="1123"/>
      <c r="I17" s="1152"/>
      <c r="J17" s="1156"/>
      <c r="K17" s="1157"/>
      <c r="L17" s="1157"/>
      <c r="M17" s="1157"/>
      <c r="N17" s="1158"/>
    </row>
    <row r="18" spans="1:14" x14ac:dyDescent="0.25">
      <c r="A18" s="909"/>
      <c r="B18" s="1123"/>
      <c r="C18" s="1165" t="s">
        <v>221</v>
      </c>
      <c r="D18" s="1165" t="s">
        <v>222</v>
      </c>
      <c r="E18" s="1165" t="s">
        <v>221</v>
      </c>
      <c r="F18" s="1165" t="s">
        <v>222</v>
      </c>
      <c r="G18" s="1123"/>
      <c r="H18" s="1123"/>
      <c r="I18" s="1152"/>
      <c r="J18" s="1159"/>
      <c r="K18" s="1160"/>
      <c r="L18" s="1160"/>
      <c r="M18" s="1160"/>
      <c r="N18" s="1161"/>
    </row>
    <row r="19" spans="1:14" x14ac:dyDescent="0.25">
      <c r="A19" s="909"/>
      <c r="B19" s="1150"/>
      <c r="C19" s="1166"/>
      <c r="D19" s="1166"/>
      <c r="E19" s="1166"/>
      <c r="F19" s="1166"/>
      <c r="G19" s="1123"/>
      <c r="H19" s="1123"/>
      <c r="I19" s="1152"/>
      <c r="J19" s="1159"/>
      <c r="K19" s="1160"/>
      <c r="L19" s="1160"/>
      <c r="M19" s="1160"/>
      <c r="N19" s="1161"/>
    </row>
    <row r="20" spans="1:14" x14ac:dyDescent="0.25">
      <c r="A20" s="909"/>
      <c r="B20" s="1123"/>
      <c r="C20" s="1167"/>
      <c r="D20" s="1167"/>
      <c r="E20" s="1167"/>
      <c r="F20" s="1167"/>
      <c r="G20" s="1123"/>
      <c r="H20" s="1123"/>
      <c r="I20" s="1152"/>
      <c r="J20" s="1162"/>
      <c r="K20" s="1163"/>
      <c r="L20" s="1163"/>
      <c r="M20" s="1163"/>
      <c r="N20" s="1164"/>
    </row>
    <row r="21" spans="1:14" ht="16.5" thickBot="1" x14ac:dyDescent="0.3">
      <c r="A21" s="138">
        <v>1</v>
      </c>
      <c r="B21" s="261">
        <v>2</v>
      </c>
      <c r="C21" s="261">
        <v>3</v>
      </c>
      <c r="D21" s="261">
        <v>4</v>
      </c>
      <c r="E21" s="261">
        <v>5</v>
      </c>
      <c r="F21" s="261">
        <v>6</v>
      </c>
      <c r="G21" s="261">
        <v>8</v>
      </c>
      <c r="H21" s="261">
        <v>9</v>
      </c>
      <c r="I21" s="261">
        <v>10</v>
      </c>
      <c r="J21" s="1174">
        <v>11</v>
      </c>
      <c r="K21" s="1175"/>
      <c r="L21" s="1175"/>
      <c r="M21" s="1175"/>
      <c r="N21" s="1176"/>
    </row>
    <row r="22" spans="1:14" x14ac:dyDescent="0.25">
      <c r="A22" s="262" t="s">
        <v>459</v>
      </c>
      <c r="B22" s="263"/>
      <c r="C22" s="263"/>
      <c r="D22" s="263"/>
      <c r="E22" s="263"/>
      <c r="F22" s="263"/>
      <c r="G22" s="263"/>
      <c r="H22" s="263"/>
      <c r="I22" s="263"/>
      <c r="J22" s="1177"/>
      <c r="K22" s="1178"/>
      <c r="L22" s="1178"/>
      <c r="M22" s="1178"/>
      <c r="N22" s="1179"/>
    </row>
    <row r="23" spans="1:14" x14ac:dyDescent="0.25">
      <c r="A23" s="264" t="s">
        <v>452</v>
      </c>
      <c r="B23" s="129"/>
      <c r="C23" s="129"/>
      <c r="D23" s="129"/>
      <c r="E23" s="129"/>
      <c r="F23" s="129"/>
      <c r="G23" s="129"/>
      <c r="H23" s="129"/>
      <c r="I23" s="129"/>
      <c r="J23" s="1171"/>
      <c r="K23" s="1172"/>
      <c r="L23" s="1172"/>
      <c r="M23" s="1172"/>
      <c r="N23" s="1173"/>
    </row>
    <row r="24" spans="1:14" x14ac:dyDescent="0.25">
      <c r="A24" s="264"/>
      <c r="B24" s="129"/>
      <c r="C24" s="129"/>
      <c r="D24" s="129"/>
      <c r="E24" s="129"/>
      <c r="F24" s="129"/>
      <c r="G24" s="129"/>
      <c r="H24" s="129"/>
      <c r="I24" s="129"/>
      <c r="J24" s="1171"/>
      <c r="K24" s="1172"/>
      <c r="L24" s="1172"/>
      <c r="M24" s="1172"/>
      <c r="N24" s="1173"/>
    </row>
    <row r="25" spans="1:14" x14ac:dyDescent="0.25">
      <c r="A25" s="264"/>
      <c r="B25" s="129"/>
      <c r="C25" s="129"/>
      <c r="D25" s="129"/>
      <c r="E25" s="129"/>
      <c r="F25" s="129"/>
      <c r="G25" s="129"/>
      <c r="H25" s="129"/>
      <c r="I25" s="129"/>
      <c r="J25" s="1171"/>
      <c r="K25" s="1172"/>
      <c r="L25" s="1172"/>
      <c r="M25" s="1172"/>
      <c r="N25" s="1173"/>
    </row>
    <row r="26" spans="1:14" ht="16.5" thickBot="1" x14ac:dyDescent="0.3">
      <c r="A26" s="265"/>
      <c r="B26" s="130"/>
      <c r="C26" s="130"/>
      <c r="D26" s="130"/>
      <c r="E26" s="130"/>
      <c r="F26" s="130"/>
      <c r="G26" s="130"/>
      <c r="H26" s="130"/>
      <c r="I26" s="130"/>
      <c r="J26" s="1168"/>
      <c r="K26" s="1169"/>
      <c r="L26" s="1169"/>
      <c r="M26" s="1169"/>
      <c r="N26" s="1170"/>
    </row>
    <row r="27" spans="1:14" x14ac:dyDescent="0.25">
      <c r="B27" s="266"/>
    </row>
    <row r="28" spans="1:14" x14ac:dyDescent="0.25">
      <c r="A28" s="1" t="s">
        <v>395</v>
      </c>
      <c r="B28" s="266"/>
    </row>
  </sheetData>
  <mergeCells count="22">
    <mergeCell ref="J26:N26"/>
    <mergeCell ref="J24:N24"/>
    <mergeCell ref="J21:N21"/>
    <mergeCell ref="J22:N22"/>
    <mergeCell ref="J23:N23"/>
    <mergeCell ref="J25:N25"/>
    <mergeCell ref="A5:N5"/>
    <mergeCell ref="A13:I13"/>
    <mergeCell ref="A15:I15"/>
    <mergeCell ref="A16:A20"/>
    <mergeCell ref="B16:B20"/>
    <mergeCell ref="C16:F16"/>
    <mergeCell ref="G16:G20"/>
    <mergeCell ref="H16:H20"/>
    <mergeCell ref="I16:I20"/>
    <mergeCell ref="J16:N20"/>
    <mergeCell ref="C17:D17"/>
    <mergeCell ref="E17:F17"/>
    <mergeCell ref="C18:C20"/>
    <mergeCell ref="D18:D20"/>
    <mergeCell ref="E18:E20"/>
    <mergeCell ref="F18:F20"/>
  </mergeCells>
  <phoneticPr fontId="0" type="noConversion"/>
  <pageMargins left="0.7" right="0.7" top="0.75" bottom="0.75" header="0.3" footer="0.3"/>
  <pageSetup paperSize="9" scale="6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77"/>
  <sheetViews>
    <sheetView workbookViewId="0">
      <selection activeCell="H13" sqref="H13:K13"/>
    </sheetView>
  </sheetViews>
  <sheetFormatPr defaultColWidth="9" defaultRowHeight="15.75" x14ac:dyDescent="0.25"/>
  <cols>
    <col min="1" max="1" width="17.75" style="1" customWidth="1"/>
    <col min="2" max="2" width="57.375" style="1" customWidth="1"/>
    <col min="3" max="3" width="16.375" style="1" customWidth="1"/>
    <col min="4" max="16384" width="9" style="1"/>
  </cols>
  <sheetData>
    <row r="1" spans="1:16" x14ac:dyDescent="0.25">
      <c r="C1" s="437" t="s">
        <v>305</v>
      </c>
    </row>
    <row r="2" spans="1:16" x14ac:dyDescent="0.25">
      <c r="C2" s="437" t="s">
        <v>91</v>
      </c>
    </row>
    <row r="3" spans="1:16" x14ac:dyDescent="0.25">
      <c r="C3" s="437" t="s">
        <v>106</v>
      </c>
    </row>
    <row r="4" spans="1:16" x14ac:dyDescent="0.25">
      <c r="C4" s="4"/>
    </row>
    <row r="5" spans="1:16" ht="42.75" customHeight="1" x14ac:dyDescent="0.25">
      <c r="A5" s="1090" t="s">
        <v>330</v>
      </c>
      <c r="B5" s="1090"/>
      <c r="C5" s="109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C6" s="4"/>
    </row>
    <row r="7" spans="1:16" x14ac:dyDescent="0.25">
      <c r="C7" s="437" t="s">
        <v>92</v>
      </c>
    </row>
    <row r="8" spans="1:16" x14ac:dyDescent="0.25">
      <c r="C8" s="437" t="s">
        <v>414</v>
      </c>
    </row>
    <row r="9" spans="1:16" x14ac:dyDescent="0.25">
      <c r="C9" s="4"/>
    </row>
    <row r="10" spans="1:16" x14ac:dyDescent="0.25">
      <c r="C10" s="437" t="s">
        <v>622</v>
      </c>
    </row>
    <row r="11" spans="1:16" x14ac:dyDescent="0.25">
      <c r="C11" s="437" t="s">
        <v>623</v>
      </c>
    </row>
    <row r="12" spans="1:16" x14ac:dyDescent="0.25">
      <c r="C12" s="462" t="s">
        <v>96</v>
      </c>
    </row>
    <row r="14" spans="1:16" ht="16.5" thickBot="1" x14ac:dyDescent="0.3"/>
    <row r="15" spans="1:16" ht="21.75" customHeight="1" thickBot="1" x14ac:dyDescent="0.3">
      <c r="A15" s="131" t="s">
        <v>557</v>
      </c>
      <c r="B15" s="3" t="s">
        <v>558</v>
      </c>
      <c r="C15" s="132" t="s">
        <v>559</v>
      </c>
    </row>
    <row r="16" spans="1:16" x14ac:dyDescent="0.25">
      <c r="A16" s="133" t="s">
        <v>417</v>
      </c>
      <c r="B16" s="1182" t="s">
        <v>560</v>
      </c>
      <c r="C16" s="1183"/>
    </row>
    <row r="17" spans="1:3" x14ac:dyDescent="0.25">
      <c r="A17" s="134" t="s">
        <v>418</v>
      </c>
      <c r="B17" s="135" t="s">
        <v>561</v>
      </c>
      <c r="C17" s="30" t="s">
        <v>562</v>
      </c>
    </row>
    <row r="18" spans="1:3" ht="31.5" x14ac:dyDescent="0.25">
      <c r="A18" s="134" t="s">
        <v>419</v>
      </c>
      <c r="B18" s="135" t="s">
        <v>563</v>
      </c>
      <c r="C18" s="30" t="s">
        <v>564</v>
      </c>
    </row>
    <row r="19" spans="1:3" x14ac:dyDescent="0.25">
      <c r="A19" s="134" t="s">
        <v>420</v>
      </c>
      <c r="B19" s="1184" t="s">
        <v>565</v>
      </c>
      <c r="C19" s="1185"/>
    </row>
    <row r="20" spans="1:3" x14ac:dyDescent="0.25">
      <c r="A20" s="134" t="s">
        <v>421</v>
      </c>
      <c r="B20" s="136" t="s">
        <v>566</v>
      </c>
      <c r="C20" s="30" t="s">
        <v>567</v>
      </c>
    </row>
    <row r="21" spans="1:3" x14ac:dyDescent="0.25">
      <c r="A21" s="134" t="s">
        <v>422</v>
      </c>
      <c r="B21" s="136" t="s">
        <v>568</v>
      </c>
      <c r="C21" s="30" t="s">
        <v>564</v>
      </c>
    </row>
    <row r="22" spans="1:3" ht="31.5" customHeight="1" x14ac:dyDescent="0.25">
      <c r="A22" s="134" t="s">
        <v>423</v>
      </c>
      <c r="B22" s="136" t="s">
        <v>569</v>
      </c>
      <c r="C22" s="30" t="s">
        <v>567</v>
      </c>
    </row>
    <row r="23" spans="1:3" ht="31.5" customHeight="1" x14ac:dyDescent="0.25">
      <c r="A23" s="134" t="s">
        <v>424</v>
      </c>
      <c r="B23" s="136" t="s">
        <v>570</v>
      </c>
      <c r="C23" s="30" t="s">
        <v>564</v>
      </c>
    </row>
    <row r="24" spans="1:3" ht="31.5" x14ac:dyDescent="0.25">
      <c r="A24" s="134" t="s">
        <v>470</v>
      </c>
      <c r="B24" s="135" t="s">
        <v>571</v>
      </c>
      <c r="C24" s="30" t="s">
        <v>567</v>
      </c>
    </row>
    <row r="25" spans="1:3" ht="34.5" customHeight="1" x14ac:dyDescent="0.25">
      <c r="A25" s="134" t="s">
        <v>520</v>
      </c>
      <c r="B25" s="135" t="s">
        <v>572</v>
      </c>
      <c r="C25" s="30" t="s">
        <v>567</v>
      </c>
    </row>
    <row r="26" spans="1:3" x14ac:dyDescent="0.25">
      <c r="A26" s="134">
        <v>3</v>
      </c>
      <c r="B26" s="1180" t="s">
        <v>573</v>
      </c>
      <c r="C26" s="1181"/>
    </row>
    <row r="27" spans="1:3" ht="31.5" x14ac:dyDescent="0.25">
      <c r="A27" s="134" t="s">
        <v>574</v>
      </c>
      <c r="B27" s="135" t="s">
        <v>575</v>
      </c>
      <c r="C27" s="30" t="s">
        <v>567</v>
      </c>
    </row>
    <row r="28" spans="1:3" ht="31.5" x14ac:dyDescent="0.25">
      <c r="A28" s="134" t="s">
        <v>576</v>
      </c>
      <c r="B28" s="135" t="s">
        <v>577</v>
      </c>
      <c r="C28" s="30" t="s">
        <v>567</v>
      </c>
    </row>
    <row r="29" spans="1:3" ht="24.75" customHeight="1" x14ac:dyDescent="0.25">
      <c r="A29" s="134" t="s">
        <v>578</v>
      </c>
      <c r="B29" s="135" t="s">
        <v>579</v>
      </c>
      <c r="C29" s="30" t="s">
        <v>567</v>
      </c>
    </row>
    <row r="30" spans="1:3" x14ac:dyDescent="0.25">
      <c r="A30" s="134" t="s">
        <v>580</v>
      </c>
      <c r="B30" s="135" t="s">
        <v>581</v>
      </c>
      <c r="C30" s="30" t="s">
        <v>567</v>
      </c>
    </row>
    <row r="31" spans="1:3" x14ac:dyDescent="0.25">
      <c r="A31" s="134">
        <v>4</v>
      </c>
      <c r="B31" s="1180" t="s">
        <v>582</v>
      </c>
      <c r="C31" s="1181"/>
    </row>
    <row r="32" spans="1:3" x14ac:dyDescent="0.25">
      <c r="A32" s="134" t="s">
        <v>425</v>
      </c>
      <c r="B32" s="135" t="s">
        <v>583</v>
      </c>
      <c r="C32" s="30" t="s">
        <v>564</v>
      </c>
    </row>
    <row r="33" spans="1:3" ht="47.25" x14ac:dyDescent="0.25">
      <c r="A33" s="134" t="s">
        <v>426</v>
      </c>
      <c r="B33" s="135" t="s">
        <v>584</v>
      </c>
      <c r="C33" s="30" t="s">
        <v>564</v>
      </c>
    </row>
    <row r="34" spans="1:3" x14ac:dyDescent="0.25">
      <c r="A34" s="134" t="s">
        <v>427</v>
      </c>
      <c r="B34" s="135" t="s">
        <v>585</v>
      </c>
      <c r="C34" s="30" t="s">
        <v>567</v>
      </c>
    </row>
    <row r="35" spans="1:3" ht="31.5" x14ac:dyDescent="0.25">
      <c r="A35" s="134" t="s">
        <v>489</v>
      </c>
      <c r="B35" s="135" t="s">
        <v>586</v>
      </c>
      <c r="C35" s="30" t="s">
        <v>567</v>
      </c>
    </row>
    <row r="36" spans="1:3" x14ac:dyDescent="0.25">
      <c r="A36" s="134" t="s">
        <v>490</v>
      </c>
      <c r="B36" s="135" t="s">
        <v>587</v>
      </c>
      <c r="C36" s="30" t="s">
        <v>564</v>
      </c>
    </row>
    <row r="37" spans="1:3" x14ac:dyDescent="0.25">
      <c r="A37" s="134" t="s">
        <v>491</v>
      </c>
      <c r="B37" s="135" t="s">
        <v>588</v>
      </c>
      <c r="C37" s="30" t="s">
        <v>564</v>
      </c>
    </row>
    <row r="38" spans="1:3" x14ac:dyDescent="0.25">
      <c r="A38" s="134">
        <v>5</v>
      </c>
      <c r="B38" s="1180" t="s">
        <v>589</v>
      </c>
      <c r="C38" s="1181"/>
    </row>
    <row r="39" spans="1:3" x14ac:dyDescent="0.25">
      <c r="A39" s="134" t="s">
        <v>428</v>
      </c>
      <c r="B39" s="135" t="s">
        <v>0</v>
      </c>
      <c r="C39" s="137" t="s">
        <v>567</v>
      </c>
    </row>
    <row r="40" spans="1:3" ht="31.5" x14ac:dyDescent="0.25">
      <c r="A40" s="134" t="s">
        <v>429</v>
      </c>
      <c r="B40" s="135" t="s">
        <v>1</v>
      </c>
      <c r="C40" s="137" t="s">
        <v>567</v>
      </c>
    </row>
    <row r="41" spans="1:3" ht="31.5" x14ac:dyDescent="0.25">
      <c r="A41" s="134" t="s">
        <v>494</v>
      </c>
      <c r="B41" s="135" t="s">
        <v>2</v>
      </c>
      <c r="C41" s="30" t="s">
        <v>564</v>
      </c>
    </row>
    <row r="42" spans="1:3" ht="31.5" x14ac:dyDescent="0.25">
      <c r="A42" s="134" t="s">
        <v>3</v>
      </c>
      <c r="B42" s="135" t="s">
        <v>4</v>
      </c>
      <c r="C42" s="30" t="s">
        <v>567</v>
      </c>
    </row>
    <row r="43" spans="1:3" ht="31.5" x14ac:dyDescent="0.25">
      <c r="A43" s="134" t="s">
        <v>5</v>
      </c>
      <c r="B43" s="135" t="s">
        <v>6</v>
      </c>
      <c r="C43" s="30" t="s">
        <v>564</v>
      </c>
    </row>
    <row r="44" spans="1:3" ht="31.5" x14ac:dyDescent="0.25">
      <c r="A44" s="134" t="s">
        <v>7</v>
      </c>
      <c r="B44" s="135" t="s">
        <v>8</v>
      </c>
      <c r="C44" s="30" t="s">
        <v>564</v>
      </c>
    </row>
    <row r="46" spans="1:3" x14ac:dyDescent="0.25">
      <c r="A46" s="134">
        <v>6</v>
      </c>
      <c r="B46" s="1180" t="s">
        <v>9</v>
      </c>
      <c r="C46" s="1181"/>
    </row>
    <row r="47" spans="1:3" ht="31.5" x14ac:dyDescent="0.25">
      <c r="A47" s="134" t="s">
        <v>552</v>
      </c>
      <c r="B47" s="135" t="s">
        <v>10</v>
      </c>
      <c r="C47" s="30" t="s">
        <v>564</v>
      </c>
    </row>
    <row r="48" spans="1:3" x14ac:dyDescent="0.25">
      <c r="A48" s="134" t="s">
        <v>553</v>
      </c>
      <c r="B48" s="135" t="s">
        <v>11</v>
      </c>
      <c r="C48" s="30" t="s">
        <v>564</v>
      </c>
    </row>
    <row r="49" spans="1:3" ht="31.5" x14ac:dyDescent="0.25">
      <c r="A49" s="134" t="s">
        <v>554</v>
      </c>
      <c r="B49" s="135" t="s">
        <v>12</v>
      </c>
      <c r="C49" s="30" t="s">
        <v>567</v>
      </c>
    </row>
    <row r="50" spans="1:3" ht="63.75" thickBot="1" x14ac:dyDescent="0.3">
      <c r="A50" s="138" t="s">
        <v>555</v>
      </c>
      <c r="B50" s="139" t="s">
        <v>13</v>
      </c>
      <c r="C50" s="32" t="s">
        <v>567</v>
      </c>
    </row>
    <row r="53" spans="1:3" ht="33" customHeight="1" x14ac:dyDescent="0.25">
      <c r="A53" s="1090" t="s">
        <v>14</v>
      </c>
      <c r="B53" s="1090"/>
      <c r="C53" s="1090"/>
    </row>
    <row r="54" spans="1:3" ht="16.5" thickBot="1" x14ac:dyDescent="0.3"/>
    <row r="55" spans="1:3" ht="16.5" thickBot="1" x14ac:dyDescent="0.3">
      <c r="A55" s="140" t="s">
        <v>416</v>
      </c>
      <c r="B55" s="141" t="s">
        <v>558</v>
      </c>
      <c r="C55" s="142" t="s">
        <v>559</v>
      </c>
    </row>
    <row r="56" spans="1:3" x14ac:dyDescent="0.25">
      <c r="A56" s="133">
        <v>1</v>
      </c>
      <c r="B56" s="143" t="s">
        <v>15</v>
      </c>
      <c r="C56" s="144"/>
    </row>
    <row r="57" spans="1:3" x14ac:dyDescent="0.25">
      <c r="A57" s="134" t="s">
        <v>418</v>
      </c>
      <c r="B57" s="145" t="s">
        <v>16</v>
      </c>
      <c r="C57" s="30" t="s">
        <v>567</v>
      </c>
    </row>
    <row r="58" spans="1:3" x14ac:dyDescent="0.25">
      <c r="A58" s="134" t="s">
        <v>419</v>
      </c>
      <c r="B58" s="145" t="s">
        <v>17</v>
      </c>
      <c r="C58" s="30" t="s">
        <v>567</v>
      </c>
    </row>
    <row r="59" spans="1:3" x14ac:dyDescent="0.25">
      <c r="A59" s="134" t="s">
        <v>430</v>
      </c>
      <c r="B59" s="135" t="s">
        <v>18</v>
      </c>
      <c r="C59" s="30" t="s">
        <v>567</v>
      </c>
    </row>
    <row r="60" spans="1:3" ht="31.5" x14ac:dyDescent="0.25">
      <c r="A60" s="134" t="s">
        <v>447</v>
      </c>
      <c r="B60" s="135" t="s">
        <v>19</v>
      </c>
      <c r="C60" s="30" t="s">
        <v>567</v>
      </c>
    </row>
    <row r="61" spans="1:3" x14ac:dyDescent="0.25">
      <c r="A61" s="134" t="s">
        <v>20</v>
      </c>
      <c r="B61" s="135" t="s">
        <v>21</v>
      </c>
      <c r="C61" s="30" t="s">
        <v>567</v>
      </c>
    </row>
    <row r="62" spans="1:3" x14ac:dyDescent="0.25">
      <c r="A62" s="134" t="s">
        <v>22</v>
      </c>
      <c r="B62" s="135" t="s">
        <v>23</v>
      </c>
      <c r="C62" s="30" t="s">
        <v>564</v>
      </c>
    </row>
    <row r="63" spans="1:3" x14ac:dyDescent="0.25">
      <c r="A63" s="134">
        <v>2</v>
      </c>
      <c r="B63" s="146" t="s">
        <v>573</v>
      </c>
      <c r="C63" s="147"/>
    </row>
    <row r="64" spans="1:3" x14ac:dyDescent="0.25">
      <c r="A64" s="134" t="s">
        <v>421</v>
      </c>
      <c r="B64" s="135" t="s">
        <v>24</v>
      </c>
      <c r="C64" s="30" t="s">
        <v>567</v>
      </c>
    </row>
    <row r="65" spans="1:3" ht="31.5" x14ac:dyDescent="0.25">
      <c r="A65" s="134" t="s">
        <v>422</v>
      </c>
      <c r="B65" s="135" t="s">
        <v>25</v>
      </c>
      <c r="C65" s="30" t="s">
        <v>567</v>
      </c>
    </row>
    <row r="66" spans="1:3" x14ac:dyDescent="0.25">
      <c r="A66" s="134" t="s">
        <v>423</v>
      </c>
      <c r="B66" s="135" t="s">
        <v>26</v>
      </c>
      <c r="C66" s="30" t="s">
        <v>567</v>
      </c>
    </row>
    <row r="67" spans="1:3" ht="31.5" x14ac:dyDescent="0.25">
      <c r="A67" s="134">
        <v>3</v>
      </c>
      <c r="B67" s="146" t="s">
        <v>27</v>
      </c>
      <c r="C67" s="147" t="s">
        <v>28</v>
      </c>
    </row>
    <row r="68" spans="1:3" ht="30.75" customHeight="1" x14ac:dyDescent="0.25">
      <c r="A68" s="134" t="s">
        <v>574</v>
      </c>
      <c r="B68" s="135" t="s">
        <v>29</v>
      </c>
      <c r="C68" s="30" t="s">
        <v>564</v>
      </c>
    </row>
    <row r="69" spans="1:3" x14ac:dyDescent="0.25">
      <c r="A69" s="134" t="s">
        <v>576</v>
      </c>
      <c r="B69" s="135" t="s">
        <v>30</v>
      </c>
      <c r="C69" s="30" t="s">
        <v>567</v>
      </c>
    </row>
    <row r="70" spans="1:3" x14ac:dyDescent="0.25">
      <c r="A70" s="134" t="s">
        <v>578</v>
      </c>
      <c r="B70" s="135" t="s">
        <v>31</v>
      </c>
      <c r="C70" s="30" t="s">
        <v>564</v>
      </c>
    </row>
    <row r="71" spans="1:3" x14ac:dyDescent="0.25">
      <c r="A71" s="134" t="s">
        <v>32</v>
      </c>
      <c r="B71" s="135" t="s">
        <v>33</v>
      </c>
      <c r="C71" s="30" t="s">
        <v>564</v>
      </c>
    </row>
    <row r="72" spans="1:3" x14ac:dyDescent="0.25">
      <c r="A72" s="134" t="s">
        <v>34</v>
      </c>
      <c r="B72" s="135" t="s">
        <v>35</v>
      </c>
      <c r="C72" s="30" t="s">
        <v>567</v>
      </c>
    </row>
    <row r="73" spans="1:3" x14ac:dyDescent="0.25">
      <c r="A73" s="134">
        <v>4</v>
      </c>
      <c r="B73" s="146" t="s">
        <v>9</v>
      </c>
      <c r="C73" s="147"/>
    </row>
    <row r="74" spans="1:3" x14ac:dyDescent="0.25">
      <c r="A74" s="134" t="s">
        <v>425</v>
      </c>
      <c r="B74" s="135" t="s">
        <v>36</v>
      </c>
      <c r="C74" s="30" t="s">
        <v>564</v>
      </c>
    </row>
    <row r="75" spans="1:3" ht="31.5" x14ac:dyDescent="0.25">
      <c r="A75" s="134" t="s">
        <v>426</v>
      </c>
      <c r="B75" s="135" t="s">
        <v>37</v>
      </c>
      <c r="C75" s="30" t="s">
        <v>567</v>
      </c>
    </row>
    <row r="76" spans="1:3" ht="16.5" thickBot="1" x14ac:dyDescent="0.3">
      <c r="A76" s="138" t="s">
        <v>427</v>
      </c>
      <c r="B76" s="139" t="s">
        <v>38</v>
      </c>
      <c r="C76" s="32" t="s">
        <v>567</v>
      </c>
    </row>
    <row r="77" spans="1:3" ht="16.5" thickBot="1" x14ac:dyDescent="0.3">
      <c r="A77" s="138" t="s">
        <v>489</v>
      </c>
      <c r="B77" s="139" t="s">
        <v>39</v>
      </c>
      <c r="C77" s="32" t="s">
        <v>567</v>
      </c>
    </row>
  </sheetData>
  <mergeCells count="8">
    <mergeCell ref="B46:C46"/>
    <mergeCell ref="A53:C53"/>
    <mergeCell ref="A5:C5"/>
    <mergeCell ref="B16:C16"/>
    <mergeCell ref="B19:C19"/>
    <mergeCell ref="B26:C26"/>
    <mergeCell ref="B31:C31"/>
    <mergeCell ref="B38:C38"/>
  </mergeCells>
  <phoneticPr fontId="0" type="noConversion"/>
  <pageMargins left="0.7" right="0.7" top="0.75" bottom="0.75" header="0.3" footer="0.3"/>
  <pageSetup paperSize="9" scale="89" fitToHeight="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V52"/>
  <sheetViews>
    <sheetView zoomScale="85" zoomScaleNormal="85" workbookViewId="0">
      <selection activeCell="G35" sqref="G35"/>
    </sheetView>
  </sheetViews>
  <sheetFormatPr defaultColWidth="9" defaultRowHeight="15.75" x14ac:dyDescent="0.25"/>
  <cols>
    <col min="1" max="1" width="54.125" style="267" bestFit="1" customWidth="1"/>
    <col min="2" max="2" width="25.5" style="267" customWidth="1"/>
    <col min="3" max="3" width="21.625" style="267" customWidth="1"/>
    <col min="4" max="16384" width="9" style="267"/>
  </cols>
  <sheetData>
    <row r="1" spans="1:256" x14ac:dyDescent="0.25">
      <c r="C1" s="472" t="s">
        <v>112</v>
      </c>
    </row>
    <row r="2" spans="1:256" x14ac:dyDescent="0.25">
      <c r="C2" s="472" t="s">
        <v>91</v>
      </c>
    </row>
    <row r="3" spans="1:256" x14ac:dyDescent="0.25">
      <c r="C3" s="472" t="s">
        <v>106</v>
      </c>
    </row>
    <row r="4" spans="1:256" x14ac:dyDescent="0.25">
      <c r="C4" s="268"/>
    </row>
    <row r="5" spans="1:256" ht="34.5" customHeight="1" x14ac:dyDescent="0.25">
      <c r="A5" s="1079" t="s">
        <v>331</v>
      </c>
      <c r="B5" s="907"/>
      <c r="C5" s="907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  <c r="DD5" s="269"/>
      <c r="DE5" s="269"/>
      <c r="DF5" s="269"/>
      <c r="DG5" s="269"/>
      <c r="DH5" s="269"/>
      <c r="DI5" s="269"/>
      <c r="DJ5" s="269"/>
      <c r="DK5" s="269"/>
      <c r="DL5" s="269"/>
      <c r="DM5" s="269"/>
      <c r="DN5" s="269"/>
      <c r="DO5" s="269"/>
      <c r="DP5" s="269"/>
      <c r="DQ5" s="269"/>
      <c r="DR5" s="269"/>
      <c r="DS5" s="269"/>
      <c r="DT5" s="269"/>
      <c r="DU5" s="269"/>
      <c r="DV5" s="269"/>
      <c r="DW5" s="269"/>
      <c r="DX5" s="269"/>
      <c r="DY5" s="269"/>
      <c r="DZ5" s="269"/>
      <c r="EA5" s="269"/>
      <c r="EB5" s="269"/>
      <c r="EC5" s="269"/>
      <c r="ED5" s="269"/>
      <c r="EE5" s="269"/>
      <c r="EF5" s="269"/>
      <c r="EG5" s="269"/>
      <c r="EH5" s="269"/>
      <c r="EI5" s="269"/>
      <c r="EJ5" s="269"/>
      <c r="EK5" s="269"/>
      <c r="EL5" s="269"/>
      <c r="EM5" s="269"/>
      <c r="EN5" s="269"/>
      <c r="EO5" s="269"/>
      <c r="EP5" s="269"/>
      <c r="EQ5" s="269"/>
      <c r="ER5" s="269"/>
      <c r="ES5" s="269"/>
      <c r="ET5" s="269"/>
      <c r="EU5" s="269"/>
      <c r="EV5" s="269"/>
      <c r="EW5" s="269"/>
      <c r="EX5" s="269"/>
      <c r="EY5" s="269"/>
      <c r="EZ5" s="269"/>
      <c r="FA5" s="269"/>
      <c r="FB5" s="269"/>
      <c r="FC5" s="269"/>
      <c r="FD5" s="269"/>
      <c r="FE5" s="269"/>
      <c r="FF5" s="269"/>
      <c r="FG5" s="269"/>
      <c r="FH5" s="269"/>
      <c r="FI5" s="269"/>
      <c r="FJ5" s="269"/>
      <c r="FK5" s="269"/>
      <c r="FL5" s="269"/>
      <c r="FM5" s="269"/>
      <c r="FN5" s="269"/>
      <c r="FO5" s="269"/>
      <c r="FP5" s="269"/>
      <c r="FQ5" s="269"/>
      <c r="FR5" s="269"/>
      <c r="FS5" s="269"/>
      <c r="FT5" s="269"/>
      <c r="FU5" s="269"/>
      <c r="FV5" s="269"/>
      <c r="FW5" s="269"/>
      <c r="FX5" s="269"/>
      <c r="FY5" s="269"/>
      <c r="FZ5" s="269"/>
      <c r="GA5" s="269"/>
      <c r="GB5" s="269"/>
      <c r="GC5" s="269"/>
      <c r="GD5" s="269"/>
      <c r="GE5" s="269"/>
      <c r="GF5" s="269"/>
      <c r="GG5" s="269"/>
      <c r="GH5" s="269"/>
      <c r="GI5" s="269"/>
      <c r="GJ5" s="269"/>
      <c r="GK5" s="269"/>
      <c r="GL5" s="269"/>
      <c r="GM5" s="269"/>
      <c r="GN5" s="269"/>
      <c r="GO5" s="269"/>
      <c r="GP5" s="269"/>
      <c r="GQ5" s="269"/>
      <c r="GR5" s="269"/>
      <c r="GS5" s="269"/>
      <c r="GT5" s="269"/>
      <c r="GU5" s="269"/>
      <c r="GV5" s="269"/>
      <c r="GW5" s="269"/>
      <c r="GX5" s="269"/>
      <c r="GY5" s="269"/>
      <c r="GZ5" s="269"/>
      <c r="HA5" s="269"/>
      <c r="HB5" s="269"/>
      <c r="HC5" s="269"/>
      <c r="HD5" s="269"/>
      <c r="HE5" s="269"/>
      <c r="HF5" s="269"/>
      <c r="HG5" s="269"/>
      <c r="HH5" s="269"/>
      <c r="HI5" s="269"/>
      <c r="HJ5" s="269"/>
      <c r="HK5" s="269"/>
      <c r="HL5" s="269"/>
      <c r="HM5" s="269"/>
      <c r="HN5" s="269"/>
      <c r="HO5" s="269"/>
      <c r="HP5" s="269"/>
      <c r="HQ5" s="269"/>
      <c r="HR5" s="269"/>
      <c r="HS5" s="269"/>
      <c r="HT5" s="269"/>
      <c r="HU5" s="269"/>
      <c r="HV5" s="269"/>
      <c r="HW5" s="269"/>
      <c r="HX5" s="269"/>
      <c r="HY5" s="269"/>
      <c r="HZ5" s="269"/>
      <c r="IA5" s="269"/>
      <c r="IB5" s="269"/>
      <c r="IC5" s="269"/>
      <c r="ID5" s="269"/>
      <c r="IE5" s="269"/>
      <c r="IF5" s="269"/>
      <c r="IG5" s="269"/>
      <c r="IH5" s="269"/>
      <c r="II5" s="269"/>
      <c r="IJ5" s="269"/>
      <c r="IK5" s="269"/>
      <c r="IL5" s="269"/>
      <c r="IM5" s="269"/>
      <c r="IN5" s="269"/>
      <c r="IO5" s="269"/>
      <c r="IP5" s="269"/>
      <c r="IQ5" s="269"/>
      <c r="IR5" s="269"/>
      <c r="IS5" s="269"/>
      <c r="IT5" s="269"/>
      <c r="IU5" s="269"/>
      <c r="IV5" s="269"/>
    </row>
    <row r="6" spans="1:256" ht="17.25" x14ac:dyDescent="0.25">
      <c r="A6" s="1"/>
      <c r="B6" s="1"/>
      <c r="C6" s="1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69"/>
      <c r="CW6" s="269"/>
      <c r="CX6" s="269"/>
      <c r="CY6" s="269"/>
      <c r="CZ6" s="269"/>
      <c r="DA6" s="269"/>
      <c r="DB6" s="269"/>
      <c r="DC6" s="269"/>
      <c r="DD6" s="269"/>
      <c r="DE6" s="269"/>
      <c r="DF6" s="269"/>
      <c r="DG6" s="269"/>
      <c r="DH6" s="269"/>
      <c r="DI6" s="269"/>
      <c r="DJ6" s="269"/>
      <c r="DK6" s="269"/>
      <c r="DL6" s="269"/>
      <c r="DM6" s="269"/>
      <c r="DN6" s="269"/>
      <c r="DO6" s="269"/>
      <c r="DP6" s="269"/>
      <c r="DQ6" s="269"/>
      <c r="DR6" s="269"/>
      <c r="DS6" s="269"/>
      <c r="DT6" s="269"/>
      <c r="DU6" s="269"/>
      <c r="DV6" s="269"/>
      <c r="DW6" s="269"/>
      <c r="DX6" s="269"/>
      <c r="DY6" s="269"/>
      <c r="DZ6" s="269"/>
      <c r="EA6" s="269"/>
      <c r="EB6" s="269"/>
      <c r="EC6" s="269"/>
      <c r="ED6" s="269"/>
      <c r="EE6" s="269"/>
      <c r="EF6" s="269"/>
      <c r="EG6" s="269"/>
      <c r="EH6" s="269"/>
      <c r="EI6" s="269"/>
      <c r="EJ6" s="269"/>
      <c r="EK6" s="269"/>
      <c r="EL6" s="269"/>
      <c r="EM6" s="269"/>
      <c r="EN6" s="269"/>
      <c r="EO6" s="269"/>
      <c r="EP6" s="269"/>
      <c r="EQ6" s="269"/>
      <c r="ER6" s="269"/>
      <c r="ES6" s="269"/>
      <c r="ET6" s="269"/>
      <c r="EU6" s="269"/>
      <c r="EV6" s="269"/>
      <c r="EW6" s="269"/>
      <c r="EX6" s="269"/>
      <c r="EY6" s="269"/>
      <c r="EZ6" s="269"/>
      <c r="FA6" s="269"/>
      <c r="FB6" s="269"/>
      <c r="FC6" s="269"/>
      <c r="FD6" s="269"/>
      <c r="FE6" s="269"/>
      <c r="FF6" s="269"/>
      <c r="FG6" s="269"/>
      <c r="FH6" s="269"/>
      <c r="FI6" s="269"/>
      <c r="FJ6" s="269"/>
      <c r="FK6" s="269"/>
      <c r="FL6" s="269"/>
      <c r="FM6" s="269"/>
      <c r="FN6" s="269"/>
      <c r="FO6" s="269"/>
      <c r="FP6" s="269"/>
      <c r="FQ6" s="269"/>
      <c r="FR6" s="269"/>
      <c r="FS6" s="269"/>
      <c r="FT6" s="269"/>
      <c r="FU6" s="269"/>
      <c r="FV6" s="269"/>
      <c r="FW6" s="269"/>
      <c r="FX6" s="269"/>
      <c r="FY6" s="269"/>
      <c r="FZ6" s="269"/>
      <c r="GA6" s="269"/>
      <c r="GB6" s="269"/>
      <c r="GC6" s="269"/>
      <c r="GD6" s="269"/>
      <c r="GE6" s="269"/>
      <c r="GF6" s="269"/>
      <c r="GG6" s="269"/>
      <c r="GH6" s="269"/>
      <c r="GI6" s="269"/>
      <c r="GJ6" s="269"/>
      <c r="GK6" s="269"/>
      <c r="GL6" s="269"/>
      <c r="GM6" s="269"/>
      <c r="GN6" s="269"/>
      <c r="GO6" s="269"/>
      <c r="GP6" s="269"/>
      <c r="GQ6" s="269"/>
      <c r="GR6" s="269"/>
      <c r="GS6" s="269"/>
      <c r="GT6" s="269"/>
      <c r="GU6" s="269"/>
      <c r="GV6" s="269"/>
      <c r="GW6" s="269"/>
      <c r="GX6" s="269"/>
      <c r="GY6" s="269"/>
      <c r="GZ6" s="269"/>
      <c r="HA6" s="269"/>
      <c r="HB6" s="269"/>
      <c r="HC6" s="269"/>
      <c r="HD6" s="269"/>
      <c r="HE6" s="269"/>
      <c r="HF6" s="269"/>
      <c r="HG6" s="269"/>
      <c r="HH6" s="269"/>
      <c r="HI6" s="269"/>
      <c r="HJ6" s="269"/>
      <c r="HK6" s="269"/>
      <c r="HL6" s="269"/>
      <c r="HM6" s="269"/>
      <c r="HN6" s="269"/>
      <c r="HO6" s="269"/>
      <c r="HP6" s="269"/>
      <c r="HQ6" s="269"/>
      <c r="HR6" s="269"/>
      <c r="HS6" s="269"/>
      <c r="HT6" s="269"/>
      <c r="HU6" s="269"/>
      <c r="HV6" s="269"/>
      <c r="HW6" s="269"/>
      <c r="HX6" s="269"/>
      <c r="HY6" s="269"/>
      <c r="HZ6" s="269"/>
      <c r="IA6" s="269"/>
      <c r="IB6" s="269"/>
      <c r="IC6" s="269"/>
      <c r="ID6" s="269"/>
      <c r="IE6" s="269"/>
      <c r="IF6" s="269"/>
      <c r="IG6" s="269"/>
      <c r="IH6" s="269"/>
      <c r="II6" s="269"/>
      <c r="IJ6" s="269"/>
      <c r="IK6" s="269"/>
      <c r="IL6" s="269"/>
      <c r="IM6" s="269"/>
      <c r="IN6" s="269"/>
      <c r="IO6" s="269"/>
      <c r="IP6" s="269"/>
      <c r="IQ6" s="269"/>
      <c r="IR6" s="269"/>
      <c r="IS6" s="269"/>
      <c r="IT6" s="269"/>
      <c r="IU6" s="269"/>
      <c r="IV6" s="269"/>
    </row>
    <row r="7" spans="1:256" x14ac:dyDescent="0.25">
      <c r="A7" s="1188" t="s">
        <v>223</v>
      </c>
      <c r="B7" s="1188"/>
      <c r="C7" s="1188"/>
    </row>
    <row r="8" spans="1:256" x14ac:dyDescent="0.25">
      <c r="A8" s="295"/>
      <c r="B8" s="295"/>
      <c r="C8" s="295"/>
    </row>
    <row r="9" spans="1:256" x14ac:dyDescent="0.25">
      <c r="C9" s="437" t="s">
        <v>92</v>
      </c>
    </row>
    <row r="10" spans="1:256" x14ac:dyDescent="0.25">
      <c r="C10" s="437" t="s">
        <v>414</v>
      </c>
    </row>
    <row r="11" spans="1:256" x14ac:dyDescent="0.25">
      <c r="C11" s="4"/>
    </row>
    <row r="12" spans="1:256" x14ac:dyDescent="0.25">
      <c r="C12" s="437" t="s">
        <v>622</v>
      </c>
    </row>
    <row r="13" spans="1:256" x14ac:dyDescent="0.25">
      <c r="C13" s="437" t="s">
        <v>623</v>
      </c>
    </row>
    <row r="14" spans="1:256" x14ac:dyDescent="0.25">
      <c r="C14" s="462" t="s">
        <v>96</v>
      </c>
    </row>
    <row r="15" spans="1:256" x14ac:dyDescent="0.25">
      <c r="B15" s="270"/>
    </row>
    <row r="16" spans="1:256" x14ac:dyDescent="0.25">
      <c r="A16" s="271" t="s">
        <v>224</v>
      </c>
      <c r="B16" s="272"/>
      <c r="C16" s="273"/>
    </row>
    <row r="17" spans="1:3" ht="47.25" x14ac:dyDescent="0.25">
      <c r="A17" s="274" t="s">
        <v>225</v>
      </c>
      <c r="B17" s="275" t="s">
        <v>226</v>
      </c>
      <c r="C17" s="276" t="s">
        <v>232</v>
      </c>
    </row>
    <row r="18" spans="1:3" x14ac:dyDescent="0.25">
      <c r="A18" s="283">
        <v>1</v>
      </c>
      <c r="B18" s="284">
        <v>2</v>
      </c>
      <c r="C18" s="285">
        <v>3</v>
      </c>
    </row>
    <row r="19" spans="1:3" x14ac:dyDescent="0.25">
      <c r="A19" s="277" t="s">
        <v>233</v>
      </c>
      <c r="B19" s="277"/>
      <c r="C19" s="277"/>
    </row>
    <row r="20" spans="1:3" x14ac:dyDescent="0.25">
      <c r="A20" s="277" t="s">
        <v>234</v>
      </c>
      <c r="B20" s="277"/>
      <c r="C20" s="277"/>
    </row>
    <row r="21" spans="1:3" x14ac:dyDescent="0.25">
      <c r="A21" s="277" t="s">
        <v>235</v>
      </c>
      <c r="B21" s="277"/>
      <c r="C21" s="277"/>
    </row>
    <row r="22" spans="1:3" x14ac:dyDescent="0.25">
      <c r="A22" s="278" t="s">
        <v>236</v>
      </c>
      <c r="B22" s="277"/>
      <c r="C22" s="277"/>
    </row>
    <row r="23" spans="1:3" x14ac:dyDescent="0.25">
      <c r="A23" s="278" t="s">
        <v>237</v>
      </c>
      <c r="B23" s="277"/>
      <c r="C23" s="277"/>
    </row>
    <row r="24" spans="1:3" x14ac:dyDescent="0.25">
      <c r="A24" s="277" t="s">
        <v>516</v>
      </c>
      <c r="B24" s="277"/>
      <c r="C24" s="277"/>
    </row>
    <row r="25" spans="1:3" x14ac:dyDescent="0.25">
      <c r="A25" s="277" t="s">
        <v>238</v>
      </c>
      <c r="B25" s="277"/>
      <c r="C25" s="277"/>
    </row>
    <row r="26" spans="1:3" x14ac:dyDescent="0.25">
      <c r="A26" s="277" t="s">
        <v>239</v>
      </c>
      <c r="B26" s="277"/>
      <c r="C26" s="277"/>
    </row>
    <row r="27" spans="1:3" x14ac:dyDescent="0.25">
      <c r="A27" s="277" t="s">
        <v>240</v>
      </c>
      <c r="B27" s="277"/>
      <c r="C27" s="277"/>
    </row>
    <row r="28" spans="1:3" x14ac:dyDescent="0.25">
      <c r="A28" s="277" t="s">
        <v>241</v>
      </c>
      <c r="B28" s="277"/>
      <c r="C28" s="277"/>
    </row>
    <row r="29" spans="1:3" x14ac:dyDescent="0.25">
      <c r="A29" s="277" t="s">
        <v>242</v>
      </c>
      <c r="B29" s="277"/>
      <c r="C29" s="277"/>
    </row>
    <row r="30" spans="1:3" x14ac:dyDescent="0.25">
      <c r="A30" s="278" t="s">
        <v>243</v>
      </c>
      <c r="B30" s="277"/>
      <c r="C30" s="277"/>
    </row>
    <row r="31" spans="1:3" x14ac:dyDescent="0.25">
      <c r="A31" s="278" t="s">
        <v>244</v>
      </c>
      <c r="B31" s="277"/>
      <c r="C31" s="277"/>
    </row>
    <row r="32" spans="1:3" x14ac:dyDescent="0.25">
      <c r="A32" s="278" t="s">
        <v>245</v>
      </c>
      <c r="B32" s="277"/>
      <c r="C32" s="277"/>
    </row>
    <row r="33" spans="1:3" x14ac:dyDescent="0.25">
      <c r="A33" s="278" t="s">
        <v>246</v>
      </c>
      <c r="B33" s="277"/>
      <c r="C33" s="277"/>
    </row>
    <row r="34" spans="1:3" x14ac:dyDescent="0.25">
      <c r="A34" s="277" t="s">
        <v>247</v>
      </c>
      <c r="B34" s="277"/>
      <c r="C34" s="277"/>
    </row>
    <row r="35" spans="1:3" x14ac:dyDescent="0.25">
      <c r="A35" s="278" t="s">
        <v>248</v>
      </c>
      <c r="B35" s="277"/>
      <c r="C35" s="277"/>
    </row>
    <row r="36" spans="1:3" x14ac:dyDescent="0.25">
      <c r="A36" s="278" t="s">
        <v>249</v>
      </c>
      <c r="B36" s="277"/>
      <c r="C36" s="277"/>
    </row>
    <row r="37" spans="1:3" x14ac:dyDescent="0.25">
      <c r="A37" s="279" t="s">
        <v>250</v>
      </c>
      <c r="B37" s="277"/>
      <c r="C37" s="277"/>
    </row>
    <row r="38" spans="1:3" x14ac:dyDescent="0.25">
      <c r="A38" s="279" t="s">
        <v>251</v>
      </c>
      <c r="B38" s="277"/>
      <c r="C38" s="277"/>
    </row>
    <row r="39" spans="1:3" x14ac:dyDescent="0.25">
      <c r="A39" s="279" t="s">
        <v>252</v>
      </c>
      <c r="B39" s="277"/>
      <c r="C39" s="277"/>
    </row>
    <row r="40" spans="1:3" x14ac:dyDescent="0.25">
      <c r="A40" s="277" t="s">
        <v>253</v>
      </c>
      <c r="B40" s="277"/>
      <c r="C40" s="277"/>
    </row>
    <row r="41" spans="1:3" x14ac:dyDescent="0.25">
      <c r="A41" s="1189" t="s">
        <v>254</v>
      </c>
      <c r="B41" s="1189"/>
      <c r="C41" s="1189"/>
    </row>
    <row r="42" spans="1:3" ht="31.5" x14ac:dyDescent="0.25">
      <c r="A42" s="277" t="s">
        <v>255</v>
      </c>
      <c r="B42" s="1186"/>
      <c r="C42" s="1187"/>
    </row>
    <row r="43" spans="1:3" x14ac:dyDescent="0.25">
      <c r="A43" s="277" t="s">
        <v>256</v>
      </c>
      <c r="B43" s="1186"/>
      <c r="C43" s="1187"/>
    </row>
    <row r="44" spans="1:3" x14ac:dyDescent="0.25">
      <c r="A44" s="277" t="s">
        <v>257</v>
      </c>
      <c r="B44" s="1186"/>
      <c r="C44" s="1187"/>
    </row>
    <row r="45" spans="1:3" x14ac:dyDescent="0.25">
      <c r="A45" s="277" t="s">
        <v>258</v>
      </c>
      <c r="B45" s="1186"/>
      <c r="C45" s="1187"/>
    </row>
    <row r="46" spans="1:3" x14ac:dyDescent="0.25">
      <c r="A46" s="1189" t="s">
        <v>259</v>
      </c>
      <c r="B46" s="1189"/>
      <c r="C46" s="1189"/>
    </row>
    <row r="47" spans="1:3" x14ac:dyDescent="0.25">
      <c r="A47" s="280" t="s">
        <v>260</v>
      </c>
      <c r="B47" s="1191"/>
      <c r="C47" s="1191"/>
    </row>
    <row r="48" spans="1:3" x14ac:dyDescent="0.25">
      <c r="A48" s="280" t="s">
        <v>261</v>
      </c>
      <c r="B48" s="1191"/>
      <c r="C48" s="1191"/>
    </row>
    <row r="49" spans="1:3" x14ac:dyDescent="0.25">
      <c r="A49" s="280" t="s">
        <v>262</v>
      </c>
      <c r="B49" s="1191"/>
      <c r="C49" s="1191"/>
    </row>
    <row r="50" spans="1:3" x14ac:dyDescent="0.25">
      <c r="A50" s="281" t="s">
        <v>263</v>
      </c>
      <c r="B50" s="1191"/>
      <c r="C50" s="1191"/>
    </row>
    <row r="51" spans="1:3" x14ac:dyDescent="0.25">
      <c r="A51" s="282"/>
      <c r="B51" s="282"/>
    </row>
    <row r="52" spans="1:3" ht="33" customHeight="1" x14ac:dyDescent="0.25">
      <c r="A52" s="1190" t="s">
        <v>264</v>
      </c>
      <c r="B52" s="1190"/>
      <c r="C52" s="1190"/>
    </row>
  </sheetData>
  <mergeCells count="13">
    <mergeCell ref="A52:C52"/>
    <mergeCell ref="B45:C45"/>
    <mergeCell ref="A46:C46"/>
    <mergeCell ref="B47:C47"/>
    <mergeCell ref="B48:C48"/>
    <mergeCell ref="B49:C49"/>
    <mergeCell ref="B50:C50"/>
    <mergeCell ref="B44:C44"/>
    <mergeCell ref="A5:C5"/>
    <mergeCell ref="A7:C7"/>
    <mergeCell ref="A41:C41"/>
    <mergeCell ref="B42:C42"/>
    <mergeCell ref="B43:C43"/>
  </mergeCells>
  <phoneticPr fontId="0" type="noConversion"/>
  <pageMargins left="0.7" right="0.7" top="0.75" bottom="0.75" header="0.3" footer="0.3"/>
  <pageSetup paperSize="9" scale="8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0"/>
  <sheetViews>
    <sheetView zoomScale="80" zoomScaleNormal="80" workbookViewId="0">
      <selection activeCell="H13" sqref="H13:K13"/>
    </sheetView>
  </sheetViews>
  <sheetFormatPr defaultColWidth="9" defaultRowHeight="15" x14ac:dyDescent="0.25"/>
  <cols>
    <col min="1" max="1" width="3.875" style="187" bestFit="1" customWidth="1"/>
    <col min="2" max="2" width="16" style="188" bestFit="1" customWidth="1"/>
    <col min="3" max="4" width="10.875" style="188" bestFit="1" customWidth="1"/>
    <col min="5" max="5" width="6.25" style="188" bestFit="1" customWidth="1"/>
    <col min="6" max="6" width="13.875" style="188" bestFit="1" customWidth="1"/>
    <col min="7" max="7" width="13.25" style="188" bestFit="1" customWidth="1"/>
    <col min="8" max="8" width="16" style="188" bestFit="1" customWidth="1"/>
    <col min="9" max="9" width="11.625" style="188" bestFit="1" customWidth="1"/>
    <col min="10" max="10" width="16.875" style="188" customWidth="1"/>
    <col min="11" max="11" width="13.25" style="188" customWidth="1"/>
    <col min="12" max="16384" width="9" style="187"/>
  </cols>
  <sheetData>
    <row r="1" spans="1:11" x14ac:dyDescent="0.25">
      <c r="K1" s="437" t="s">
        <v>304</v>
      </c>
    </row>
    <row r="2" spans="1:11" x14ac:dyDescent="0.25">
      <c r="K2" s="472" t="s">
        <v>91</v>
      </c>
    </row>
    <row r="3" spans="1:11" x14ac:dyDescent="0.25">
      <c r="K3" s="472" t="s">
        <v>106</v>
      </c>
    </row>
    <row r="4" spans="1:11" ht="15.75" x14ac:dyDescent="0.25">
      <c r="K4" s="4"/>
    </row>
    <row r="5" spans="1:11" ht="33.75" customHeight="1" x14ac:dyDescent="0.25">
      <c r="A5" s="1192" t="s">
        <v>332</v>
      </c>
      <c r="B5" s="1193"/>
      <c r="C5" s="1193"/>
      <c r="D5" s="1193"/>
      <c r="E5" s="1193"/>
      <c r="F5" s="1193"/>
      <c r="G5" s="1193"/>
      <c r="H5" s="1193"/>
      <c r="I5" s="1193"/>
      <c r="J5" s="1193"/>
      <c r="K5" s="1193"/>
    </row>
    <row r="6" spans="1:11" x14ac:dyDescent="0.25">
      <c r="K6" s="437" t="s">
        <v>92</v>
      </c>
    </row>
    <row r="7" spans="1:11" x14ac:dyDescent="0.25">
      <c r="K7" s="437" t="s">
        <v>414</v>
      </c>
    </row>
    <row r="8" spans="1:11" ht="15.75" x14ac:dyDescent="0.25">
      <c r="K8" s="4"/>
    </row>
    <row r="9" spans="1:11" x14ac:dyDescent="0.25">
      <c r="K9" s="437" t="s">
        <v>622</v>
      </c>
    </row>
    <row r="10" spans="1:11" x14ac:dyDescent="0.25">
      <c r="K10" s="437" t="s">
        <v>623</v>
      </c>
    </row>
    <row r="11" spans="1:11" x14ac:dyDescent="0.25">
      <c r="K11" s="462" t="s">
        <v>96</v>
      </c>
    </row>
    <row r="12" spans="1:11" ht="15.75" thickBot="1" x14ac:dyDescent="0.3"/>
    <row r="13" spans="1:11" s="188" customFormat="1" ht="84.75" customHeight="1" x14ac:dyDescent="0.25">
      <c r="A13" s="1194" t="s">
        <v>77</v>
      </c>
      <c r="B13" s="1196" t="s">
        <v>83</v>
      </c>
      <c r="C13" s="1198" t="s">
        <v>75</v>
      </c>
      <c r="D13" s="1199"/>
      <c r="E13" s="1200"/>
      <c r="F13" s="1196" t="s">
        <v>76</v>
      </c>
      <c r="G13" s="1196"/>
      <c r="H13" s="1196" t="s">
        <v>86</v>
      </c>
      <c r="I13" s="1196"/>
      <c r="J13" s="1196"/>
      <c r="K13" s="1196"/>
    </row>
    <row r="14" spans="1:11" s="188" customFormat="1" ht="39.75" customHeight="1" x14ac:dyDescent="0.25">
      <c r="A14" s="1195"/>
      <c r="B14" s="1197"/>
      <c r="C14" s="1197" t="s">
        <v>80</v>
      </c>
      <c r="D14" s="1197" t="s">
        <v>81</v>
      </c>
      <c r="E14" s="1197" t="s">
        <v>82</v>
      </c>
      <c r="F14" s="1197" t="s">
        <v>84</v>
      </c>
      <c r="G14" s="1197" t="s">
        <v>85</v>
      </c>
      <c r="H14" s="1197" t="s">
        <v>89</v>
      </c>
      <c r="I14" s="1197" t="s">
        <v>78</v>
      </c>
      <c r="J14" s="1197" t="s">
        <v>90</v>
      </c>
      <c r="K14" s="1197" t="s">
        <v>79</v>
      </c>
    </row>
    <row r="15" spans="1:11" ht="63.75" customHeight="1" x14ac:dyDescent="0.25">
      <c r="A15" s="1195"/>
      <c r="B15" s="1197"/>
      <c r="C15" s="1197"/>
      <c r="D15" s="1197"/>
      <c r="E15" s="1197"/>
      <c r="F15" s="1197"/>
      <c r="G15" s="1197"/>
      <c r="H15" s="1197"/>
      <c r="I15" s="1197"/>
      <c r="J15" s="1197"/>
      <c r="K15" s="1197"/>
    </row>
    <row r="16" spans="1:11" ht="22.5" customHeight="1" x14ac:dyDescent="0.25">
      <c r="A16" s="189"/>
      <c r="B16" s="190"/>
      <c r="C16" s="190"/>
      <c r="D16" s="190"/>
      <c r="E16" s="190"/>
      <c r="F16" s="190"/>
      <c r="G16" s="190"/>
      <c r="H16" s="190"/>
      <c r="I16" s="190"/>
      <c r="J16" s="190"/>
      <c r="K16" s="190"/>
    </row>
    <row r="17" spans="1:11" x14ac:dyDescent="0.25">
      <c r="A17" s="189"/>
      <c r="B17" s="190"/>
      <c r="C17" s="190"/>
      <c r="D17" s="190"/>
      <c r="E17" s="190"/>
      <c r="F17" s="190"/>
      <c r="G17" s="190"/>
      <c r="H17" s="190"/>
      <c r="I17" s="190"/>
      <c r="J17" s="190"/>
      <c r="K17" s="190"/>
    </row>
    <row r="18" spans="1:11" x14ac:dyDescent="0.25">
      <c r="A18" s="189"/>
      <c r="B18" s="190"/>
      <c r="C18" s="190"/>
      <c r="D18" s="190"/>
      <c r="E18" s="190"/>
      <c r="F18" s="190"/>
      <c r="G18" s="190"/>
      <c r="H18" s="190"/>
      <c r="I18" s="190"/>
      <c r="J18" s="190"/>
      <c r="K18" s="190"/>
    </row>
    <row r="19" spans="1:11" x14ac:dyDescent="0.25">
      <c r="A19" s="189"/>
      <c r="B19" s="190"/>
      <c r="C19" s="190"/>
      <c r="D19" s="190"/>
      <c r="E19" s="190"/>
      <c r="F19" s="190"/>
      <c r="G19" s="190"/>
      <c r="H19" s="190"/>
      <c r="I19" s="190"/>
      <c r="J19" s="190"/>
      <c r="K19" s="190"/>
    </row>
    <row r="20" spans="1:11" ht="15.75" thickBot="1" x14ac:dyDescent="0.3">
      <c r="A20" s="193"/>
      <c r="B20" s="192"/>
      <c r="C20" s="192"/>
      <c r="D20" s="192"/>
      <c r="E20" s="192"/>
      <c r="F20" s="192"/>
      <c r="G20" s="192"/>
      <c r="H20" s="191"/>
      <c r="I20" s="191"/>
      <c r="J20" s="191"/>
      <c r="K20" s="191"/>
    </row>
  </sheetData>
  <mergeCells count="15">
    <mergeCell ref="A5:K5"/>
    <mergeCell ref="A13:A15"/>
    <mergeCell ref="B13:B15"/>
    <mergeCell ref="C13:E13"/>
    <mergeCell ref="F13:G13"/>
    <mergeCell ref="H13:K13"/>
    <mergeCell ref="C14:C15"/>
    <mergeCell ref="D14:D15"/>
    <mergeCell ref="E14:E15"/>
    <mergeCell ref="F14:F15"/>
    <mergeCell ref="K14:K15"/>
    <mergeCell ref="G14:G15"/>
    <mergeCell ref="H14:H15"/>
    <mergeCell ref="I14:I15"/>
    <mergeCell ref="J14:J15"/>
  </mergeCells>
  <phoneticPr fontId="0" type="noConversion"/>
  <pageMargins left="0.7" right="0.7" top="0.75" bottom="0.75" header="0.3" footer="0.3"/>
  <pageSetup paperSize="9" scale="6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35"/>
  <sheetViews>
    <sheetView view="pageBreakPreview" zoomScaleNormal="70" zoomScaleSheetLayoutView="100" workbookViewId="0">
      <pane xSplit="3" ySplit="8" topLeftCell="D9" activePane="bottomRight" state="frozen"/>
      <selection activeCell="B2" sqref="B2"/>
      <selection pane="topRight" activeCell="D2" sqref="D2"/>
      <selection pane="bottomLeft" activeCell="B11" sqref="B11"/>
      <selection pane="bottomRight" activeCell="D18" sqref="D18"/>
    </sheetView>
  </sheetViews>
  <sheetFormatPr defaultColWidth="8.25" defaultRowHeight="12.75" outlineLevelRow="2" outlineLevelCol="1" x14ac:dyDescent="0.2"/>
  <cols>
    <col min="1" max="1" width="8" style="561" customWidth="1"/>
    <col min="2" max="2" width="7.625" style="537" customWidth="1"/>
    <col min="3" max="3" width="38" style="436" customWidth="1"/>
    <col min="4" max="4" width="11" style="537" customWidth="1"/>
    <col min="5" max="5" width="10.75" style="436" hidden="1" customWidth="1" outlineLevel="1"/>
    <col min="6" max="6" width="12.625" style="436" hidden="1" customWidth="1" outlineLevel="1"/>
    <col min="7" max="7" width="12" style="537" customWidth="1" collapsed="1"/>
    <col min="8" max="8" width="11" style="537" customWidth="1"/>
    <col min="9" max="236" width="8.25" style="436"/>
    <col min="237" max="237" width="0" style="436" hidden="1" customWidth="1"/>
    <col min="238" max="238" width="7.625" style="436" customWidth="1"/>
    <col min="239" max="239" width="33.75" style="436" customWidth="1"/>
    <col min="240" max="240" width="12.25" style="436" customWidth="1"/>
    <col min="241" max="248" width="10.75" style="436" customWidth="1"/>
    <col min="249" max="253" width="0" style="436" hidden="1" customWidth="1"/>
    <col min="254" max="257" width="8.25" style="436"/>
    <col min="258" max="260" width="10.75" style="436" customWidth="1"/>
    <col min="261" max="492" width="8.25" style="436"/>
    <col min="493" max="493" width="0" style="436" hidden="1" customWidth="1"/>
    <col min="494" max="494" width="7.625" style="436" customWidth="1"/>
    <col min="495" max="495" width="33.75" style="436" customWidth="1"/>
    <col min="496" max="496" width="12.25" style="436" customWidth="1"/>
    <col min="497" max="504" width="10.75" style="436" customWidth="1"/>
    <col min="505" max="509" width="0" style="436" hidden="1" customWidth="1"/>
    <col min="510" max="513" width="8.25" style="436"/>
    <col min="514" max="516" width="10.75" style="436" customWidth="1"/>
    <col min="517" max="748" width="8.25" style="436"/>
    <col min="749" max="749" width="0" style="436" hidden="1" customWidth="1"/>
    <col min="750" max="750" width="7.625" style="436" customWidth="1"/>
    <col min="751" max="751" width="33.75" style="436" customWidth="1"/>
    <col min="752" max="752" width="12.25" style="436" customWidth="1"/>
    <col min="753" max="760" width="10.75" style="436" customWidth="1"/>
    <col min="761" max="765" width="0" style="436" hidden="1" customWidth="1"/>
    <col min="766" max="769" width="8.25" style="436"/>
    <col min="770" max="772" width="10.75" style="436" customWidth="1"/>
    <col min="773" max="1004" width="8.25" style="436"/>
    <col min="1005" max="1005" width="0" style="436" hidden="1" customWidth="1"/>
    <col min="1006" max="1006" width="7.625" style="436" customWidth="1"/>
    <col min="1007" max="1007" width="33.75" style="436" customWidth="1"/>
    <col min="1008" max="1008" width="12.25" style="436" customWidth="1"/>
    <col min="1009" max="1016" width="10.75" style="436" customWidth="1"/>
    <col min="1017" max="1021" width="0" style="436" hidden="1" customWidth="1"/>
    <col min="1022" max="1025" width="8.25" style="436"/>
    <col min="1026" max="1028" width="10.75" style="436" customWidth="1"/>
    <col min="1029" max="1260" width="8.25" style="436"/>
    <col min="1261" max="1261" width="0" style="436" hidden="1" customWidth="1"/>
    <col min="1262" max="1262" width="7.625" style="436" customWidth="1"/>
    <col min="1263" max="1263" width="33.75" style="436" customWidth="1"/>
    <col min="1264" max="1264" width="12.25" style="436" customWidth="1"/>
    <col min="1265" max="1272" width="10.75" style="436" customWidth="1"/>
    <col min="1273" max="1277" width="0" style="436" hidden="1" customWidth="1"/>
    <col min="1278" max="1281" width="8.25" style="436"/>
    <col min="1282" max="1284" width="10.75" style="436" customWidth="1"/>
    <col min="1285" max="1516" width="8.25" style="436"/>
    <col min="1517" max="1517" width="0" style="436" hidden="1" customWidth="1"/>
    <col min="1518" max="1518" width="7.625" style="436" customWidth="1"/>
    <col min="1519" max="1519" width="33.75" style="436" customWidth="1"/>
    <col min="1520" max="1520" width="12.25" style="436" customWidth="1"/>
    <col min="1521" max="1528" width="10.75" style="436" customWidth="1"/>
    <col min="1529" max="1533" width="0" style="436" hidden="1" customWidth="1"/>
    <col min="1534" max="1537" width="8.25" style="436"/>
    <col min="1538" max="1540" width="10.75" style="436" customWidth="1"/>
    <col min="1541" max="1772" width="8.25" style="436"/>
    <col min="1773" max="1773" width="0" style="436" hidden="1" customWidth="1"/>
    <col min="1774" max="1774" width="7.625" style="436" customWidth="1"/>
    <col min="1775" max="1775" width="33.75" style="436" customWidth="1"/>
    <col min="1776" max="1776" width="12.25" style="436" customWidth="1"/>
    <col min="1777" max="1784" width="10.75" style="436" customWidth="1"/>
    <col min="1785" max="1789" width="0" style="436" hidden="1" customWidth="1"/>
    <col min="1790" max="1793" width="8.25" style="436"/>
    <col min="1794" max="1796" width="10.75" style="436" customWidth="1"/>
    <col min="1797" max="2028" width="8.25" style="436"/>
    <col min="2029" max="2029" width="0" style="436" hidden="1" customWidth="1"/>
    <col min="2030" max="2030" width="7.625" style="436" customWidth="1"/>
    <col min="2031" max="2031" width="33.75" style="436" customWidth="1"/>
    <col min="2032" max="2032" width="12.25" style="436" customWidth="1"/>
    <col min="2033" max="2040" width="10.75" style="436" customWidth="1"/>
    <col min="2041" max="2045" width="0" style="436" hidden="1" customWidth="1"/>
    <col min="2046" max="2049" width="8.25" style="436"/>
    <col min="2050" max="2052" width="10.75" style="436" customWidth="1"/>
    <col min="2053" max="2284" width="8.25" style="436"/>
    <col min="2285" max="2285" width="0" style="436" hidden="1" customWidth="1"/>
    <col min="2286" max="2286" width="7.625" style="436" customWidth="1"/>
    <col min="2287" max="2287" width="33.75" style="436" customWidth="1"/>
    <col min="2288" max="2288" width="12.25" style="436" customWidth="1"/>
    <col min="2289" max="2296" width="10.75" style="436" customWidth="1"/>
    <col min="2297" max="2301" width="0" style="436" hidden="1" customWidth="1"/>
    <col min="2302" max="2305" width="8.25" style="436"/>
    <col min="2306" max="2308" width="10.75" style="436" customWidth="1"/>
    <col min="2309" max="2540" width="8.25" style="436"/>
    <col min="2541" max="2541" width="0" style="436" hidden="1" customWidth="1"/>
    <col min="2542" max="2542" width="7.625" style="436" customWidth="1"/>
    <col min="2543" max="2543" width="33.75" style="436" customWidth="1"/>
    <col min="2544" max="2544" width="12.25" style="436" customWidth="1"/>
    <col min="2545" max="2552" width="10.75" style="436" customWidth="1"/>
    <col min="2553" max="2557" width="0" style="436" hidden="1" customWidth="1"/>
    <col min="2558" max="2561" width="8.25" style="436"/>
    <col min="2562" max="2564" width="10.75" style="436" customWidth="1"/>
    <col min="2565" max="2796" width="8.25" style="436"/>
    <col min="2797" max="2797" width="0" style="436" hidden="1" customWidth="1"/>
    <col min="2798" max="2798" width="7.625" style="436" customWidth="1"/>
    <col min="2799" max="2799" width="33.75" style="436" customWidth="1"/>
    <col min="2800" max="2800" width="12.25" style="436" customWidth="1"/>
    <col min="2801" max="2808" width="10.75" style="436" customWidth="1"/>
    <col min="2809" max="2813" width="0" style="436" hidden="1" customWidth="1"/>
    <col min="2814" max="2817" width="8.25" style="436"/>
    <col min="2818" max="2820" width="10.75" style="436" customWidth="1"/>
    <col min="2821" max="3052" width="8.25" style="436"/>
    <col min="3053" max="3053" width="0" style="436" hidden="1" customWidth="1"/>
    <col min="3054" max="3054" width="7.625" style="436" customWidth="1"/>
    <col min="3055" max="3055" width="33.75" style="436" customWidth="1"/>
    <col min="3056" max="3056" width="12.25" style="436" customWidth="1"/>
    <col min="3057" max="3064" width="10.75" style="436" customWidth="1"/>
    <col min="3065" max="3069" width="0" style="436" hidden="1" customWidth="1"/>
    <col min="3070" max="3073" width="8.25" style="436"/>
    <col min="3074" max="3076" width="10.75" style="436" customWidth="1"/>
    <col min="3077" max="3308" width="8.25" style="436"/>
    <col min="3309" max="3309" width="0" style="436" hidden="1" customWidth="1"/>
    <col min="3310" max="3310" width="7.625" style="436" customWidth="1"/>
    <col min="3311" max="3311" width="33.75" style="436" customWidth="1"/>
    <col min="3312" max="3312" width="12.25" style="436" customWidth="1"/>
    <col min="3313" max="3320" width="10.75" style="436" customWidth="1"/>
    <col min="3321" max="3325" width="0" style="436" hidden="1" customWidth="1"/>
    <col min="3326" max="3329" width="8.25" style="436"/>
    <col min="3330" max="3332" width="10.75" style="436" customWidth="1"/>
    <col min="3333" max="3564" width="8.25" style="436"/>
    <col min="3565" max="3565" width="0" style="436" hidden="1" customWidth="1"/>
    <col min="3566" max="3566" width="7.625" style="436" customWidth="1"/>
    <col min="3567" max="3567" width="33.75" style="436" customWidth="1"/>
    <col min="3568" max="3568" width="12.25" style="436" customWidth="1"/>
    <col min="3569" max="3576" width="10.75" style="436" customWidth="1"/>
    <col min="3577" max="3581" width="0" style="436" hidden="1" customWidth="1"/>
    <col min="3582" max="3585" width="8.25" style="436"/>
    <col min="3586" max="3588" width="10.75" style="436" customWidth="1"/>
    <col min="3589" max="3820" width="8.25" style="436"/>
    <col min="3821" max="3821" width="0" style="436" hidden="1" customWidth="1"/>
    <col min="3822" max="3822" width="7.625" style="436" customWidth="1"/>
    <col min="3823" max="3823" width="33.75" style="436" customWidth="1"/>
    <col min="3824" max="3824" width="12.25" style="436" customWidth="1"/>
    <col min="3825" max="3832" width="10.75" style="436" customWidth="1"/>
    <col min="3833" max="3837" width="0" style="436" hidden="1" customWidth="1"/>
    <col min="3838" max="3841" width="8.25" style="436"/>
    <col min="3842" max="3844" width="10.75" style="436" customWidth="1"/>
    <col min="3845" max="4076" width="8.25" style="436"/>
    <col min="4077" max="4077" width="0" style="436" hidden="1" customWidth="1"/>
    <col min="4078" max="4078" width="7.625" style="436" customWidth="1"/>
    <col min="4079" max="4079" width="33.75" style="436" customWidth="1"/>
    <col min="4080" max="4080" width="12.25" style="436" customWidth="1"/>
    <col min="4081" max="4088" width="10.75" style="436" customWidth="1"/>
    <col min="4089" max="4093" width="0" style="436" hidden="1" customWidth="1"/>
    <col min="4094" max="4097" width="8.25" style="436"/>
    <col min="4098" max="4100" width="10.75" style="436" customWidth="1"/>
    <col min="4101" max="4332" width="8.25" style="436"/>
    <col min="4333" max="4333" width="0" style="436" hidden="1" customWidth="1"/>
    <col min="4334" max="4334" width="7.625" style="436" customWidth="1"/>
    <col min="4335" max="4335" width="33.75" style="436" customWidth="1"/>
    <col min="4336" max="4336" width="12.25" style="436" customWidth="1"/>
    <col min="4337" max="4344" width="10.75" style="436" customWidth="1"/>
    <col min="4345" max="4349" width="0" style="436" hidden="1" customWidth="1"/>
    <col min="4350" max="4353" width="8.25" style="436"/>
    <col min="4354" max="4356" width="10.75" style="436" customWidth="1"/>
    <col min="4357" max="4588" width="8.25" style="436"/>
    <col min="4589" max="4589" width="0" style="436" hidden="1" customWidth="1"/>
    <col min="4590" max="4590" width="7.625" style="436" customWidth="1"/>
    <col min="4591" max="4591" width="33.75" style="436" customWidth="1"/>
    <col min="4592" max="4592" width="12.25" style="436" customWidth="1"/>
    <col min="4593" max="4600" width="10.75" style="436" customWidth="1"/>
    <col min="4601" max="4605" width="0" style="436" hidden="1" customWidth="1"/>
    <col min="4606" max="4609" width="8.25" style="436"/>
    <col min="4610" max="4612" width="10.75" style="436" customWidth="1"/>
    <col min="4613" max="4844" width="8.25" style="436"/>
    <col min="4845" max="4845" width="0" style="436" hidden="1" customWidth="1"/>
    <col min="4846" max="4846" width="7.625" style="436" customWidth="1"/>
    <col min="4847" max="4847" width="33.75" style="436" customWidth="1"/>
    <col min="4848" max="4848" width="12.25" style="436" customWidth="1"/>
    <col min="4849" max="4856" width="10.75" style="436" customWidth="1"/>
    <col min="4857" max="4861" width="0" style="436" hidden="1" customWidth="1"/>
    <col min="4862" max="4865" width="8.25" style="436"/>
    <col min="4866" max="4868" width="10.75" style="436" customWidth="1"/>
    <col min="4869" max="5100" width="8.25" style="436"/>
    <col min="5101" max="5101" width="0" style="436" hidden="1" customWidth="1"/>
    <col min="5102" max="5102" width="7.625" style="436" customWidth="1"/>
    <col min="5103" max="5103" width="33.75" style="436" customWidth="1"/>
    <col min="5104" max="5104" width="12.25" style="436" customWidth="1"/>
    <col min="5105" max="5112" width="10.75" style="436" customWidth="1"/>
    <col min="5113" max="5117" width="0" style="436" hidden="1" customWidth="1"/>
    <col min="5118" max="5121" width="8.25" style="436"/>
    <col min="5122" max="5124" width="10.75" style="436" customWidth="1"/>
    <col min="5125" max="5356" width="8.25" style="436"/>
    <col min="5357" max="5357" width="0" style="436" hidden="1" customWidth="1"/>
    <col min="5358" max="5358" width="7.625" style="436" customWidth="1"/>
    <col min="5359" max="5359" width="33.75" style="436" customWidth="1"/>
    <col min="5360" max="5360" width="12.25" style="436" customWidth="1"/>
    <col min="5361" max="5368" width="10.75" style="436" customWidth="1"/>
    <col min="5369" max="5373" width="0" style="436" hidden="1" customWidth="1"/>
    <col min="5374" max="5377" width="8.25" style="436"/>
    <col min="5378" max="5380" width="10.75" style="436" customWidth="1"/>
    <col min="5381" max="5612" width="8.25" style="436"/>
    <col min="5613" max="5613" width="0" style="436" hidden="1" customWidth="1"/>
    <col min="5614" max="5614" width="7.625" style="436" customWidth="1"/>
    <col min="5615" max="5615" width="33.75" style="436" customWidth="1"/>
    <col min="5616" max="5616" width="12.25" style="436" customWidth="1"/>
    <col min="5617" max="5624" width="10.75" style="436" customWidth="1"/>
    <col min="5625" max="5629" width="0" style="436" hidden="1" customWidth="1"/>
    <col min="5630" max="5633" width="8.25" style="436"/>
    <col min="5634" max="5636" width="10.75" style="436" customWidth="1"/>
    <col min="5637" max="5868" width="8.25" style="436"/>
    <col min="5869" max="5869" width="0" style="436" hidden="1" customWidth="1"/>
    <col min="5870" max="5870" width="7.625" style="436" customWidth="1"/>
    <col min="5871" max="5871" width="33.75" style="436" customWidth="1"/>
    <col min="5872" max="5872" width="12.25" style="436" customWidth="1"/>
    <col min="5873" max="5880" width="10.75" style="436" customWidth="1"/>
    <col min="5881" max="5885" width="0" style="436" hidden="1" customWidth="1"/>
    <col min="5886" max="5889" width="8.25" style="436"/>
    <col min="5890" max="5892" width="10.75" style="436" customWidth="1"/>
    <col min="5893" max="6124" width="8.25" style="436"/>
    <col min="6125" max="6125" width="0" style="436" hidden="1" customWidth="1"/>
    <col min="6126" max="6126" width="7.625" style="436" customWidth="1"/>
    <col min="6127" max="6127" width="33.75" style="436" customWidth="1"/>
    <col min="6128" max="6128" width="12.25" style="436" customWidth="1"/>
    <col min="6129" max="6136" width="10.75" style="436" customWidth="1"/>
    <col min="6137" max="6141" width="0" style="436" hidden="1" customWidth="1"/>
    <col min="6142" max="6145" width="8.25" style="436"/>
    <col min="6146" max="6148" width="10.75" style="436" customWidth="1"/>
    <col min="6149" max="6380" width="8.25" style="436"/>
    <col min="6381" max="6381" width="0" style="436" hidden="1" customWidth="1"/>
    <col min="6382" max="6382" width="7.625" style="436" customWidth="1"/>
    <col min="6383" max="6383" width="33.75" style="436" customWidth="1"/>
    <col min="6384" max="6384" width="12.25" style="436" customWidth="1"/>
    <col min="6385" max="6392" width="10.75" style="436" customWidth="1"/>
    <col min="6393" max="6397" width="0" style="436" hidden="1" customWidth="1"/>
    <col min="6398" max="6401" width="8.25" style="436"/>
    <col min="6402" max="6404" width="10.75" style="436" customWidth="1"/>
    <col min="6405" max="6636" width="8.25" style="436"/>
    <col min="6637" max="6637" width="0" style="436" hidden="1" customWidth="1"/>
    <col min="6638" max="6638" width="7.625" style="436" customWidth="1"/>
    <col min="6639" max="6639" width="33.75" style="436" customWidth="1"/>
    <col min="6640" max="6640" width="12.25" style="436" customWidth="1"/>
    <col min="6641" max="6648" width="10.75" style="436" customWidth="1"/>
    <col min="6649" max="6653" width="0" style="436" hidden="1" customWidth="1"/>
    <col min="6654" max="6657" width="8.25" style="436"/>
    <col min="6658" max="6660" width="10.75" style="436" customWidth="1"/>
    <col min="6661" max="6892" width="8.25" style="436"/>
    <col min="6893" max="6893" width="0" style="436" hidden="1" customWidth="1"/>
    <col min="6894" max="6894" width="7.625" style="436" customWidth="1"/>
    <col min="6895" max="6895" width="33.75" style="436" customWidth="1"/>
    <col min="6896" max="6896" width="12.25" style="436" customWidth="1"/>
    <col min="6897" max="6904" width="10.75" style="436" customWidth="1"/>
    <col min="6905" max="6909" width="0" style="436" hidden="1" customWidth="1"/>
    <col min="6910" max="6913" width="8.25" style="436"/>
    <col min="6914" max="6916" width="10.75" style="436" customWidth="1"/>
    <col min="6917" max="7148" width="8.25" style="436"/>
    <col min="7149" max="7149" width="0" style="436" hidden="1" customWidth="1"/>
    <col min="7150" max="7150" width="7.625" style="436" customWidth="1"/>
    <col min="7151" max="7151" width="33.75" style="436" customWidth="1"/>
    <col min="7152" max="7152" width="12.25" style="436" customWidth="1"/>
    <col min="7153" max="7160" width="10.75" style="436" customWidth="1"/>
    <col min="7161" max="7165" width="0" style="436" hidden="1" customWidth="1"/>
    <col min="7166" max="7169" width="8.25" style="436"/>
    <col min="7170" max="7172" width="10.75" style="436" customWidth="1"/>
    <col min="7173" max="7404" width="8.25" style="436"/>
    <col min="7405" max="7405" width="0" style="436" hidden="1" customWidth="1"/>
    <col min="7406" max="7406" width="7.625" style="436" customWidth="1"/>
    <col min="7407" max="7407" width="33.75" style="436" customWidth="1"/>
    <col min="7408" max="7408" width="12.25" style="436" customWidth="1"/>
    <col min="7409" max="7416" width="10.75" style="436" customWidth="1"/>
    <col min="7417" max="7421" width="0" style="436" hidden="1" customWidth="1"/>
    <col min="7422" max="7425" width="8.25" style="436"/>
    <col min="7426" max="7428" width="10.75" style="436" customWidth="1"/>
    <col min="7429" max="7660" width="8.25" style="436"/>
    <col min="7661" max="7661" width="0" style="436" hidden="1" customWidth="1"/>
    <col min="7662" max="7662" width="7.625" style="436" customWidth="1"/>
    <col min="7663" max="7663" width="33.75" style="436" customWidth="1"/>
    <col min="7664" max="7664" width="12.25" style="436" customWidth="1"/>
    <col min="7665" max="7672" width="10.75" style="436" customWidth="1"/>
    <col min="7673" max="7677" width="0" style="436" hidden="1" customWidth="1"/>
    <col min="7678" max="7681" width="8.25" style="436"/>
    <col min="7682" max="7684" width="10.75" style="436" customWidth="1"/>
    <col min="7685" max="7916" width="8.25" style="436"/>
    <col min="7917" max="7917" width="0" style="436" hidden="1" customWidth="1"/>
    <col min="7918" max="7918" width="7.625" style="436" customWidth="1"/>
    <col min="7919" max="7919" width="33.75" style="436" customWidth="1"/>
    <col min="7920" max="7920" width="12.25" style="436" customWidth="1"/>
    <col min="7921" max="7928" width="10.75" style="436" customWidth="1"/>
    <col min="7929" max="7933" width="0" style="436" hidden="1" customWidth="1"/>
    <col min="7934" max="7937" width="8.25" style="436"/>
    <col min="7938" max="7940" width="10.75" style="436" customWidth="1"/>
    <col min="7941" max="8172" width="8.25" style="436"/>
    <col min="8173" max="8173" width="0" style="436" hidden="1" customWidth="1"/>
    <col min="8174" max="8174" width="7.625" style="436" customWidth="1"/>
    <col min="8175" max="8175" width="33.75" style="436" customWidth="1"/>
    <col min="8176" max="8176" width="12.25" style="436" customWidth="1"/>
    <col min="8177" max="8184" width="10.75" style="436" customWidth="1"/>
    <col min="8185" max="8189" width="0" style="436" hidden="1" customWidth="1"/>
    <col min="8190" max="8193" width="8.25" style="436"/>
    <col min="8194" max="8196" width="10.75" style="436" customWidth="1"/>
    <col min="8197" max="8428" width="8.25" style="436"/>
    <col min="8429" max="8429" width="0" style="436" hidden="1" customWidth="1"/>
    <col min="8430" max="8430" width="7.625" style="436" customWidth="1"/>
    <col min="8431" max="8431" width="33.75" style="436" customWidth="1"/>
    <col min="8432" max="8432" width="12.25" style="436" customWidth="1"/>
    <col min="8433" max="8440" width="10.75" style="436" customWidth="1"/>
    <col min="8441" max="8445" width="0" style="436" hidden="1" customWidth="1"/>
    <col min="8446" max="8449" width="8.25" style="436"/>
    <col min="8450" max="8452" width="10.75" style="436" customWidth="1"/>
    <col min="8453" max="8684" width="8.25" style="436"/>
    <col min="8685" max="8685" width="0" style="436" hidden="1" customWidth="1"/>
    <col min="8686" max="8686" width="7.625" style="436" customWidth="1"/>
    <col min="8687" max="8687" width="33.75" style="436" customWidth="1"/>
    <col min="8688" max="8688" width="12.25" style="436" customWidth="1"/>
    <col min="8689" max="8696" width="10.75" style="436" customWidth="1"/>
    <col min="8697" max="8701" width="0" style="436" hidden="1" customWidth="1"/>
    <col min="8702" max="8705" width="8.25" style="436"/>
    <col min="8706" max="8708" width="10.75" style="436" customWidth="1"/>
    <col min="8709" max="8940" width="8.25" style="436"/>
    <col min="8941" max="8941" width="0" style="436" hidden="1" customWidth="1"/>
    <col min="8942" max="8942" width="7.625" style="436" customWidth="1"/>
    <col min="8943" max="8943" width="33.75" style="436" customWidth="1"/>
    <col min="8944" max="8944" width="12.25" style="436" customWidth="1"/>
    <col min="8945" max="8952" width="10.75" style="436" customWidth="1"/>
    <col min="8953" max="8957" width="0" style="436" hidden="1" customWidth="1"/>
    <col min="8958" max="8961" width="8.25" style="436"/>
    <col min="8962" max="8964" width="10.75" style="436" customWidth="1"/>
    <col min="8965" max="9196" width="8.25" style="436"/>
    <col min="9197" max="9197" width="0" style="436" hidden="1" customWidth="1"/>
    <col min="9198" max="9198" width="7.625" style="436" customWidth="1"/>
    <col min="9199" max="9199" width="33.75" style="436" customWidth="1"/>
    <col min="9200" max="9200" width="12.25" style="436" customWidth="1"/>
    <col min="9201" max="9208" width="10.75" style="436" customWidth="1"/>
    <col min="9209" max="9213" width="0" style="436" hidden="1" customWidth="1"/>
    <col min="9214" max="9217" width="8.25" style="436"/>
    <col min="9218" max="9220" width="10.75" style="436" customWidth="1"/>
    <col min="9221" max="9452" width="8.25" style="436"/>
    <col min="9453" max="9453" width="0" style="436" hidden="1" customWidth="1"/>
    <col min="9454" max="9454" width="7.625" style="436" customWidth="1"/>
    <col min="9455" max="9455" width="33.75" style="436" customWidth="1"/>
    <col min="9456" max="9456" width="12.25" style="436" customWidth="1"/>
    <col min="9457" max="9464" width="10.75" style="436" customWidth="1"/>
    <col min="9465" max="9469" width="0" style="436" hidden="1" customWidth="1"/>
    <col min="9470" max="9473" width="8.25" style="436"/>
    <col min="9474" max="9476" width="10.75" style="436" customWidth="1"/>
    <col min="9477" max="9708" width="8.25" style="436"/>
    <col min="9709" max="9709" width="0" style="436" hidden="1" customWidth="1"/>
    <col min="9710" max="9710" width="7.625" style="436" customWidth="1"/>
    <col min="9711" max="9711" width="33.75" style="436" customWidth="1"/>
    <col min="9712" max="9712" width="12.25" style="436" customWidth="1"/>
    <col min="9713" max="9720" width="10.75" style="436" customWidth="1"/>
    <col min="9721" max="9725" width="0" style="436" hidden="1" customWidth="1"/>
    <col min="9726" max="9729" width="8.25" style="436"/>
    <col min="9730" max="9732" width="10.75" style="436" customWidth="1"/>
    <col min="9733" max="9964" width="8.25" style="436"/>
    <col min="9965" max="9965" width="0" style="436" hidden="1" customWidth="1"/>
    <col min="9966" max="9966" width="7.625" style="436" customWidth="1"/>
    <col min="9967" max="9967" width="33.75" style="436" customWidth="1"/>
    <col min="9968" max="9968" width="12.25" style="436" customWidth="1"/>
    <col min="9969" max="9976" width="10.75" style="436" customWidth="1"/>
    <col min="9977" max="9981" width="0" style="436" hidden="1" customWidth="1"/>
    <col min="9982" max="9985" width="8.25" style="436"/>
    <col min="9986" max="9988" width="10.75" style="436" customWidth="1"/>
    <col min="9989" max="10220" width="8.25" style="436"/>
    <col min="10221" max="10221" width="0" style="436" hidden="1" customWidth="1"/>
    <col min="10222" max="10222" width="7.625" style="436" customWidth="1"/>
    <col min="10223" max="10223" width="33.75" style="436" customWidth="1"/>
    <col min="10224" max="10224" width="12.25" style="436" customWidth="1"/>
    <col min="10225" max="10232" width="10.75" style="436" customWidth="1"/>
    <col min="10233" max="10237" width="0" style="436" hidden="1" customWidth="1"/>
    <col min="10238" max="10241" width="8.25" style="436"/>
    <col min="10242" max="10244" width="10.75" style="436" customWidth="1"/>
    <col min="10245" max="10476" width="8.25" style="436"/>
    <col min="10477" max="10477" width="0" style="436" hidden="1" customWidth="1"/>
    <col min="10478" max="10478" width="7.625" style="436" customWidth="1"/>
    <col min="10479" max="10479" width="33.75" style="436" customWidth="1"/>
    <col min="10480" max="10480" width="12.25" style="436" customWidth="1"/>
    <col min="10481" max="10488" width="10.75" style="436" customWidth="1"/>
    <col min="10489" max="10493" width="0" style="436" hidden="1" customWidth="1"/>
    <col min="10494" max="10497" width="8.25" style="436"/>
    <col min="10498" max="10500" width="10.75" style="436" customWidth="1"/>
    <col min="10501" max="10732" width="8.25" style="436"/>
    <col min="10733" max="10733" width="0" style="436" hidden="1" customWidth="1"/>
    <col min="10734" max="10734" width="7.625" style="436" customWidth="1"/>
    <col min="10735" max="10735" width="33.75" style="436" customWidth="1"/>
    <col min="10736" max="10736" width="12.25" style="436" customWidth="1"/>
    <col min="10737" max="10744" width="10.75" style="436" customWidth="1"/>
    <col min="10745" max="10749" width="0" style="436" hidden="1" customWidth="1"/>
    <col min="10750" max="10753" width="8.25" style="436"/>
    <col min="10754" max="10756" width="10.75" style="436" customWidth="1"/>
    <col min="10757" max="10988" width="8.25" style="436"/>
    <col min="10989" max="10989" width="0" style="436" hidden="1" customWidth="1"/>
    <col min="10990" max="10990" width="7.625" style="436" customWidth="1"/>
    <col min="10991" max="10991" width="33.75" style="436" customWidth="1"/>
    <col min="10992" max="10992" width="12.25" style="436" customWidth="1"/>
    <col min="10993" max="11000" width="10.75" style="436" customWidth="1"/>
    <col min="11001" max="11005" width="0" style="436" hidden="1" customWidth="1"/>
    <col min="11006" max="11009" width="8.25" style="436"/>
    <col min="11010" max="11012" width="10.75" style="436" customWidth="1"/>
    <col min="11013" max="11244" width="8.25" style="436"/>
    <col min="11245" max="11245" width="0" style="436" hidden="1" customWidth="1"/>
    <col min="11246" max="11246" width="7.625" style="436" customWidth="1"/>
    <col min="11247" max="11247" width="33.75" style="436" customWidth="1"/>
    <col min="11248" max="11248" width="12.25" style="436" customWidth="1"/>
    <col min="11249" max="11256" width="10.75" style="436" customWidth="1"/>
    <col min="11257" max="11261" width="0" style="436" hidden="1" customWidth="1"/>
    <col min="11262" max="11265" width="8.25" style="436"/>
    <col min="11266" max="11268" width="10.75" style="436" customWidth="1"/>
    <col min="11269" max="11500" width="8.25" style="436"/>
    <col min="11501" max="11501" width="0" style="436" hidden="1" customWidth="1"/>
    <col min="11502" max="11502" width="7.625" style="436" customWidth="1"/>
    <col min="11503" max="11503" width="33.75" style="436" customWidth="1"/>
    <col min="11504" max="11504" width="12.25" style="436" customWidth="1"/>
    <col min="11505" max="11512" width="10.75" style="436" customWidth="1"/>
    <col min="11513" max="11517" width="0" style="436" hidden="1" customWidth="1"/>
    <col min="11518" max="11521" width="8.25" style="436"/>
    <col min="11522" max="11524" width="10.75" style="436" customWidth="1"/>
    <col min="11525" max="11756" width="8.25" style="436"/>
    <col min="11757" max="11757" width="0" style="436" hidden="1" customWidth="1"/>
    <col min="11758" max="11758" width="7.625" style="436" customWidth="1"/>
    <col min="11759" max="11759" width="33.75" style="436" customWidth="1"/>
    <col min="11760" max="11760" width="12.25" style="436" customWidth="1"/>
    <col min="11761" max="11768" width="10.75" style="436" customWidth="1"/>
    <col min="11769" max="11773" width="0" style="436" hidden="1" customWidth="1"/>
    <col min="11774" max="11777" width="8.25" style="436"/>
    <col min="11778" max="11780" width="10.75" style="436" customWidth="1"/>
    <col min="11781" max="12012" width="8.25" style="436"/>
    <col min="12013" max="12013" width="0" style="436" hidden="1" customWidth="1"/>
    <col min="12014" max="12014" width="7.625" style="436" customWidth="1"/>
    <col min="12015" max="12015" width="33.75" style="436" customWidth="1"/>
    <col min="12016" max="12016" width="12.25" style="436" customWidth="1"/>
    <col min="12017" max="12024" width="10.75" style="436" customWidth="1"/>
    <col min="12025" max="12029" width="0" style="436" hidden="1" customWidth="1"/>
    <col min="12030" max="12033" width="8.25" style="436"/>
    <col min="12034" max="12036" width="10.75" style="436" customWidth="1"/>
    <col min="12037" max="12268" width="8.25" style="436"/>
    <col min="12269" max="12269" width="0" style="436" hidden="1" customWidth="1"/>
    <col min="12270" max="12270" width="7.625" style="436" customWidth="1"/>
    <col min="12271" max="12271" width="33.75" style="436" customWidth="1"/>
    <col min="12272" max="12272" width="12.25" style="436" customWidth="1"/>
    <col min="12273" max="12280" width="10.75" style="436" customWidth="1"/>
    <col min="12281" max="12285" width="0" style="436" hidden="1" customWidth="1"/>
    <col min="12286" max="12289" width="8.25" style="436"/>
    <col min="12290" max="12292" width="10.75" style="436" customWidth="1"/>
    <col min="12293" max="12524" width="8.25" style="436"/>
    <col min="12525" max="12525" width="0" style="436" hidden="1" customWidth="1"/>
    <col min="12526" max="12526" width="7.625" style="436" customWidth="1"/>
    <col min="12527" max="12527" width="33.75" style="436" customWidth="1"/>
    <col min="12528" max="12528" width="12.25" style="436" customWidth="1"/>
    <col min="12529" max="12536" width="10.75" style="436" customWidth="1"/>
    <col min="12537" max="12541" width="0" style="436" hidden="1" customWidth="1"/>
    <col min="12542" max="12545" width="8.25" style="436"/>
    <col min="12546" max="12548" width="10.75" style="436" customWidth="1"/>
    <col min="12549" max="12780" width="8.25" style="436"/>
    <col min="12781" max="12781" width="0" style="436" hidden="1" customWidth="1"/>
    <col min="12782" max="12782" width="7.625" style="436" customWidth="1"/>
    <col min="12783" max="12783" width="33.75" style="436" customWidth="1"/>
    <col min="12784" max="12784" width="12.25" style="436" customWidth="1"/>
    <col min="12785" max="12792" width="10.75" style="436" customWidth="1"/>
    <col min="12793" max="12797" width="0" style="436" hidden="1" customWidth="1"/>
    <col min="12798" max="12801" width="8.25" style="436"/>
    <col min="12802" max="12804" width="10.75" style="436" customWidth="1"/>
    <col min="12805" max="13036" width="8.25" style="436"/>
    <col min="13037" max="13037" width="0" style="436" hidden="1" customWidth="1"/>
    <col min="13038" max="13038" width="7.625" style="436" customWidth="1"/>
    <col min="13039" max="13039" width="33.75" style="436" customWidth="1"/>
    <col min="13040" max="13040" width="12.25" style="436" customWidth="1"/>
    <col min="13041" max="13048" width="10.75" style="436" customWidth="1"/>
    <col min="13049" max="13053" width="0" style="436" hidden="1" customWidth="1"/>
    <col min="13054" max="13057" width="8.25" style="436"/>
    <col min="13058" max="13060" width="10.75" style="436" customWidth="1"/>
    <col min="13061" max="13292" width="8.25" style="436"/>
    <col min="13293" max="13293" width="0" style="436" hidden="1" customWidth="1"/>
    <col min="13294" max="13294" width="7.625" style="436" customWidth="1"/>
    <col min="13295" max="13295" width="33.75" style="436" customWidth="1"/>
    <col min="13296" max="13296" width="12.25" style="436" customWidth="1"/>
    <col min="13297" max="13304" width="10.75" style="436" customWidth="1"/>
    <col min="13305" max="13309" width="0" style="436" hidden="1" customWidth="1"/>
    <col min="13310" max="13313" width="8.25" style="436"/>
    <col min="13314" max="13316" width="10.75" style="436" customWidth="1"/>
    <col min="13317" max="13548" width="8.25" style="436"/>
    <col min="13549" max="13549" width="0" style="436" hidden="1" customWidth="1"/>
    <col min="13550" max="13550" width="7.625" style="436" customWidth="1"/>
    <col min="13551" max="13551" width="33.75" style="436" customWidth="1"/>
    <col min="13552" max="13552" width="12.25" style="436" customWidth="1"/>
    <col min="13553" max="13560" width="10.75" style="436" customWidth="1"/>
    <col min="13561" max="13565" width="0" style="436" hidden="1" customWidth="1"/>
    <col min="13566" max="13569" width="8.25" style="436"/>
    <col min="13570" max="13572" width="10.75" style="436" customWidth="1"/>
    <col min="13573" max="13804" width="8.25" style="436"/>
    <col min="13805" max="13805" width="0" style="436" hidden="1" customWidth="1"/>
    <col min="13806" max="13806" width="7.625" style="436" customWidth="1"/>
    <col min="13807" max="13807" width="33.75" style="436" customWidth="1"/>
    <col min="13808" max="13808" width="12.25" style="436" customWidth="1"/>
    <col min="13809" max="13816" width="10.75" style="436" customWidth="1"/>
    <col min="13817" max="13821" width="0" style="436" hidden="1" customWidth="1"/>
    <col min="13822" max="13825" width="8.25" style="436"/>
    <col min="13826" max="13828" width="10.75" style="436" customWidth="1"/>
    <col min="13829" max="14060" width="8.25" style="436"/>
    <col min="14061" max="14061" width="0" style="436" hidden="1" customWidth="1"/>
    <col min="14062" max="14062" width="7.625" style="436" customWidth="1"/>
    <col min="14063" max="14063" width="33.75" style="436" customWidth="1"/>
    <col min="14064" max="14064" width="12.25" style="436" customWidth="1"/>
    <col min="14065" max="14072" width="10.75" style="436" customWidth="1"/>
    <col min="14073" max="14077" width="0" style="436" hidden="1" customWidth="1"/>
    <col min="14078" max="14081" width="8.25" style="436"/>
    <col min="14082" max="14084" width="10.75" style="436" customWidth="1"/>
    <col min="14085" max="14316" width="8.25" style="436"/>
    <col min="14317" max="14317" width="0" style="436" hidden="1" customWidth="1"/>
    <col min="14318" max="14318" width="7.625" style="436" customWidth="1"/>
    <col min="14319" max="14319" width="33.75" style="436" customWidth="1"/>
    <col min="14320" max="14320" width="12.25" style="436" customWidth="1"/>
    <col min="14321" max="14328" width="10.75" style="436" customWidth="1"/>
    <col min="14329" max="14333" width="0" style="436" hidden="1" customWidth="1"/>
    <col min="14334" max="14337" width="8.25" style="436"/>
    <col min="14338" max="14340" width="10.75" style="436" customWidth="1"/>
    <col min="14341" max="14572" width="8.25" style="436"/>
    <col min="14573" max="14573" width="0" style="436" hidden="1" customWidth="1"/>
    <col min="14574" max="14574" width="7.625" style="436" customWidth="1"/>
    <col min="14575" max="14575" width="33.75" style="436" customWidth="1"/>
    <col min="14576" max="14576" width="12.25" style="436" customWidth="1"/>
    <col min="14577" max="14584" width="10.75" style="436" customWidth="1"/>
    <col min="14585" max="14589" width="0" style="436" hidden="1" customWidth="1"/>
    <col min="14590" max="14593" width="8.25" style="436"/>
    <col min="14594" max="14596" width="10.75" style="436" customWidth="1"/>
    <col min="14597" max="14828" width="8.25" style="436"/>
    <col min="14829" max="14829" width="0" style="436" hidden="1" customWidth="1"/>
    <col min="14830" max="14830" width="7.625" style="436" customWidth="1"/>
    <col min="14831" max="14831" width="33.75" style="436" customWidth="1"/>
    <col min="14832" max="14832" width="12.25" style="436" customWidth="1"/>
    <col min="14833" max="14840" width="10.75" style="436" customWidth="1"/>
    <col min="14841" max="14845" width="0" style="436" hidden="1" customWidth="1"/>
    <col min="14846" max="14849" width="8.25" style="436"/>
    <col min="14850" max="14852" width="10.75" style="436" customWidth="1"/>
    <col min="14853" max="15084" width="8.25" style="436"/>
    <col min="15085" max="15085" width="0" style="436" hidden="1" customWidth="1"/>
    <col min="15086" max="15086" width="7.625" style="436" customWidth="1"/>
    <col min="15087" max="15087" width="33.75" style="436" customWidth="1"/>
    <col min="15088" max="15088" width="12.25" style="436" customWidth="1"/>
    <col min="15089" max="15096" width="10.75" style="436" customWidth="1"/>
    <col min="15097" max="15101" width="0" style="436" hidden="1" customWidth="1"/>
    <col min="15102" max="15105" width="8.25" style="436"/>
    <col min="15106" max="15108" width="10.75" style="436" customWidth="1"/>
    <col min="15109" max="15340" width="8.25" style="436"/>
    <col min="15341" max="15341" width="0" style="436" hidden="1" customWidth="1"/>
    <col min="15342" max="15342" width="7.625" style="436" customWidth="1"/>
    <col min="15343" max="15343" width="33.75" style="436" customWidth="1"/>
    <col min="15344" max="15344" width="12.25" style="436" customWidth="1"/>
    <col min="15345" max="15352" width="10.75" style="436" customWidth="1"/>
    <col min="15353" max="15357" width="0" style="436" hidden="1" customWidth="1"/>
    <col min="15358" max="15361" width="8.25" style="436"/>
    <col min="15362" max="15364" width="10.75" style="436" customWidth="1"/>
    <col min="15365" max="15596" width="8.25" style="436"/>
    <col min="15597" max="15597" width="0" style="436" hidden="1" customWidth="1"/>
    <col min="15598" max="15598" width="7.625" style="436" customWidth="1"/>
    <col min="15599" max="15599" width="33.75" style="436" customWidth="1"/>
    <col min="15600" max="15600" width="12.25" style="436" customWidth="1"/>
    <col min="15601" max="15608" width="10.75" style="436" customWidth="1"/>
    <col min="15609" max="15613" width="0" style="436" hidden="1" customWidth="1"/>
    <col min="15614" max="15617" width="8.25" style="436"/>
    <col min="15618" max="15620" width="10.75" style="436" customWidth="1"/>
    <col min="15621" max="15852" width="8.25" style="436"/>
    <col min="15853" max="15853" width="0" style="436" hidden="1" customWidth="1"/>
    <col min="15854" max="15854" width="7.625" style="436" customWidth="1"/>
    <col min="15855" max="15855" width="33.75" style="436" customWidth="1"/>
    <col min="15856" max="15856" width="12.25" style="436" customWidth="1"/>
    <col min="15857" max="15864" width="10.75" style="436" customWidth="1"/>
    <col min="15865" max="15869" width="0" style="436" hidden="1" customWidth="1"/>
    <col min="15870" max="15873" width="8.25" style="436"/>
    <col min="15874" max="15876" width="10.75" style="436" customWidth="1"/>
    <col min="15877" max="16108" width="8.25" style="436"/>
    <col min="16109" max="16109" width="0" style="436" hidden="1" customWidth="1"/>
    <col min="16110" max="16110" width="7.625" style="436" customWidth="1"/>
    <col min="16111" max="16111" width="33.75" style="436" customWidth="1"/>
    <col min="16112" max="16112" width="12.25" style="436" customWidth="1"/>
    <col min="16113" max="16120" width="10.75" style="436" customWidth="1"/>
    <col min="16121" max="16125" width="0" style="436" hidden="1" customWidth="1"/>
    <col min="16126" max="16129" width="8.25" style="436"/>
    <col min="16130" max="16132" width="10.75" style="436" customWidth="1"/>
    <col min="16133" max="16384" width="8.25" style="436"/>
  </cols>
  <sheetData>
    <row r="1" spans="1:15" s="532" customFormat="1" ht="12.6" hidden="1" customHeight="1" x14ac:dyDescent="0.2">
      <c r="A1" s="561"/>
      <c r="B1" s="591" t="s">
        <v>694</v>
      </c>
      <c r="C1" s="558" t="s">
        <v>695</v>
      </c>
      <c r="D1" s="558" t="s">
        <v>700</v>
      </c>
      <c r="E1" s="558" t="s">
        <v>659</v>
      </c>
      <c r="F1" s="558" t="s">
        <v>847</v>
      </c>
      <c r="G1" s="558" t="s">
        <v>668</v>
      </c>
      <c r="H1" s="558" t="s">
        <v>848</v>
      </c>
    </row>
    <row r="2" spans="1:15" ht="15.75" x14ac:dyDescent="0.25">
      <c r="B2" s="576" t="s">
        <v>943</v>
      </c>
      <c r="C2" s="2"/>
    </row>
    <row r="4" spans="1:15" ht="25.5" customHeight="1" x14ac:dyDescent="0.3">
      <c r="B4" s="1202" t="s">
        <v>701</v>
      </c>
      <c r="C4" s="1202"/>
      <c r="D4" s="1202"/>
      <c r="E4" s="1202"/>
      <c r="F4" s="1202"/>
      <c r="G4" s="436"/>
      <c r="H4" s="436"/>
    </row>
    <row r="5" spans="1:15" ht="15.75" x14ac:dyDescent="0.25">
      <c r="B5" s="1208" t="s">
        <v>849</v>
      </c>
      <c r="C5" s="1208"/>
    </row>
    <row r="6" spans="1:15" ht="30" customHeight="1" x14ac:dyDescent="0.2">
      <c r="B6" s="1203" t="s">
        <v>702</v>
      </c>
      <c r="C6" s="1205" t="s">
        <v>478</v>
      </c>
      <c r="D6" s="760" t="s">
        <v>846</v>
      </c>
      <c r="E6" s="581"/>
      <c r="F6" s="581"/>
      <c r="G6" s="1209" t="s">
        <v>1107</v>
      </c>
      <c r="H6" s="1209"/>
      <c r="I6" s="1209"/>
      <c r="J6" s="1209"/>
      <c r="K6" s="1209"/>
      <c r="L6" s="1209"/>
      <c r="M6" s="1209"/>
      <c r="N6" s="1209"/>
      <c r="O6" s="1209"/>
    </row>
    <row r="7" spans="1:15" ht="40.9" customHeight="1" x14ac:dyDescent="0.2">
      <c r="B7" s="1204"/>
      <c r="C7" s="1206"/>
      <c r="D7" s="1207" t="s">
        <v>1016</v>
      </c>
      <c r="E7" s="1207"/>
      <c r="F7" s="1207"/>
      <c r="G7" s="609">
        <v>2018</v>
      </c>
      <c r="H7" s="609">
        <v>2019</v>
      </c>
      <c r="I7" s="448">
        <v>2020</v>
      </c>
      <c r="J7" s="448">
        <v>2021</v>
      </c>
      <c r="K7" s="448">
        <v>2022</v>
      </c>
      <c r="L7" s="448">
        <v>2023</v>
      </c>
      <c r="M7" s="448">
        <v>2024</v>
      </c>
      <c r="N7" s="448">
        <v>2025</v>
      </c>
      <c r="O7" s="448">
        <v>2026</v>
      </c>
    </row>
    <row r="8" spans="1:15" ht="15" x14ac:dyDescent="0.25">
      <c r="B8" s="550">
        <v>1</v>
      </c>
      <c r="C8" s="535">
        <v>2</v>
      </c>
      <c r="D8" s="550">
        <v>3</v>
      </c>
      <c r="E8" s="534">
        <v>4</v>
      </c>
      <c r="F8" s="534">
        <v>5</v>
      </c>
      <c r="G8" s="550">
        <v>4</v>
      </c>
      <c r="H8" s="550">
        <v>5</v>
      </c>
      <c r="I8" s="692"/>
      <c r="J8" s="692"/>
      <c r="K8" s="692"/>
      <c r="L8" s="692"/>
      <c r="M8" s="692"/>
      <c r="N8" s="692"/>
      <c r="O8" s="692"/>
    </row>
    <row r="9" spans="1:15" ht="28.5" x14ac:dyDescent="0.2">
      <c r="B9" s="588" t="s">
        <v>459</v>
      </c>
      <c r="C9" s="620" t="s">
        <v>703</v>
      </c>
      <c r="D9" s="544">
        <v>37268.019106401756</v>
      </c>
      <c r="E9" s="544"/>
      <c r="F9" s="544"/>
      <c r="G9" s="610">
        <f t="shared" ref="G9:H9" si="0">SUM(G10,G17:G30,G46,G78:G85)</f>
        <v>36131.371730555751</v>
      </c>
      <c r="H9" s="610">
        <f t="shared" si="0"/>
        <v>36356.236195797937</v>
      </c>
      <c r="I9" s="610">
        <f t="shared" ref="I9:O9" si="1">SUM(I10,I17:I30,I46,I78:I85)</f>
        <v>2056.488821227028</v>
      </c>
      <c r="J9" s="610">
        <f t="shared" si="1"/>
        <v>2322.4635376677056</v>
      </c>
      <c r="K9" s="610">
        <f t="shared" si="1"/>
        <v>2327.9644813723062</v>
      </c>
      <c r="L9" s="610">
        <f t="shared" si="1"/>
        <v>2365.3600624861078</v>
      </c>
      <c r="M9" s="610">
        <f t="shared" si="1"/>
        <v>2374.2109140962193</v>
      </c>
      <c r="N9" s="610">
        <f t="shared" si="1"/>
        <v>2851.1654987328479</v>
      </c>
      <c r="O9" s="610">
        <f t="shared" si="1"/>
        <v>1495.0441081517351</v>
      </c>
    </row>
    <row r="10" spans="1:15" ht="15" x14ac:dyDescent="0.25">
      <c r="A10" s="562"/>
      <c r="B10" s="538" t="s">
        <v>673</v>
      </c>
      <c r="C10" s="541" t="s">
        <v>704</v>
      </c>
      <c r="D10" s="536">
        <v>359.71244124833498</v>
      </c>
      <c r="E10" s="536"/>
      <c r="F10" s="536"/>
      <c r="G10" s="611">
        <f t="shared" ref="G10:H10" si="2">SUM(G11:G16)</f>
        <v>359.71244124833498</v>
      </c>
      <c r="H10" s="611">
        <f t="shared" si="2"/>
        <v>359.71244124833498</v>
      </c>
      <c r="I10" s="611">
        <f t="shared" ref="I10:O10" si="3">SUM(I11:I16)</f>
        <v>0</v>
      </c>
      <c r="J10" s="611">
        <f t="shared" si="3"/>
        <v>0</v>
      </c>
      <c r="K10" s="611">
        <f t="shared" si="3"/>
        <v>0</v>
      </c>
      <c r="L10" s="611">
        <f t="shared" si="3"/>
        <v>0</v>
      </c>
      <c r="M10" s="611">
        <f t="shared" si="3"/>
        <v>0</v>
      </c>
      <c r="N10" s="611">
        <f t="shared" si="3"/>
        <v>0</v>
      </c>
      <c r="O10" s="611">
        <f t="shared" si="3"/>
        <v>0</v>
      </c>
    </row>
    <row r="11" spans="1:15" ht="15" hidden="1" outlineLevel="1" x14ac:dyDescent="0.25">
      <c r="B11" s="538"/>
      <c r="C11" s="612" t="s">
        <v>486</v>
      </c>
      <c r="D11" s="536"/>
      <c r="E11" s="536"/>
      <c r="F11" s="536"/>
      <c r="G11" s="536"/>
      <c r="H11" s="536"/>
      <c r="I11" s="692"/>
      <c r="J11" s="692"/>
      <c r="K11" s="692"/>
      <c r="L11" s="692"/>
      <c r="M11" s="692"/>
      <c r="N11" s="692"/>
      <c r="O11" s="692"/>
    </row>
    <row r="12" spans="1:15" ht="15" hidden="1" outlineLevel="1" x14ac:dyDescent="0.25">
      <c r="B12" s="538" t="s">
        <v>313</v>
      </c>
      <c r="C12" s="613" t="s">
        <v>862</v>
      </c>
      <c r="D12" s="536">
        <v>111.19929999999999</v>
      </c>
      <c r="E12" s="536"/>
      <c r="F12" s="536"/>
      <c r="G12" s="536">
        <f>D12</f>
        <v>111.19929999999999</v>
      </c>
      <c r="H12" s="536">
        <f>G12</f>
        <v>111.19929999999999</v>
      </c>
      <c r="I12" s="692"/>
      <c r="J12" s="692"/>
      <c r="K12" s="692"/>
      <c r="L12" s="692"/>
      <c r="M12" s="692"/>
      <c r="N12" s="692"/>
      <c r="O12" s="692"/>
    </row>
    <row r="13" spans="1:15" ht="15" hidden="1" outlineLevel="1" x14ac:dyDescent="0.25">
      <c r="B13" s="538" t="s">
        <v>314</v>
      </c>
      <c r="C13" s="613" t="s">
        <v>705</v>
      </c>
      <c r="D13" s="536">
        <v>247.63947459432438</v>
      </c>
      <c r="E13" s="536"/>
      <c r="F13" s="536"/>
      <c r="G13" s="536">
        <f t="shared" ref="G13:G19" si="4">D13</f>
        <v>247.63947459432438</v>
      </c>
      <c r="H13" s="536">
        <f t="shared" ref="H13:H19" si="5">G13</f>
        <v>247.63947459432438</v>
      </c>
      <c r="I13" s="692"/>
      <c r="J13" s="692"/>
      <c r="K13" s="692"/>
      <c r="L13" s="692"/>
      <c r="M13" s="692"/>
      <c r="N13" s="692"/>
      <c r="O13" s="692"/>
    </row>
    <row r="14" spans="1:15" ht="15" hidden="1" outlineLevel="1" x14ac:dyDescent="0.25">
      <c r="B14" s="538" t="s">
        <v>315</v>
      </c>
      <c r="C14" s="613" t="s">
        <v>706</v>
      </c>
      <c r="D14" s="536">
        <v>0.87366665401060772</v>
      </c>
      <c r="E14" s="536"/>
      <c r="F14" s="536"/>
      <c r="G14" s="536">
        <f t="shared" si="4"/>
        <v>0.87366665401060772</v>
      </c>
      <c r="H14" s="536">
        <f t="shared" si="5"/>
        <v>0.87366665401060772</v>
      </c>
      <c r="I14" s="692"/>
      <c r="J14" s="692"/>
      <c r="K14" s="692"/>
      <c r="L14" s="692"/>
      <c r="M14" s="692"/>
      <c r="N14" s="692"/>
      <c r="O14" s="692"/>
    </row>
    <row r="15" spans="1:15" ht="15" hidden="1" outlineLevel="1" x14ac:dyDescent="0.25">
      <c r="B15" s="538" t="s">
        <v>316</v>
      </c>
      <c r="C15" s="613" t="s">
        <v>707</v>
      </c>
      <c r="D15" s="536"/>
      <c r="E15" s="536"/>
      <c r="F15" s="536"/>
      <c r="G15" s="536">
        <f t="shared" si="4"/>
        <v>0</v>
      </c>
      <c r="H15" s="536">
        <f t="shared" si="5"/>
        <v>0</v>
      </c>
      <c r="I15" s="692"/>
      <c r="J15" s="692"/>
      <c r="K15" s="692"/>
      <c r="L15" s="692"/>
      <c r="M15" s="692"/>
      <c r="N15" s="692"/>
      <c r="O15" s="692"/>
    </row>
    <row r="16" spans="1:15" ht="15" hidden="1" outlineLevel="1" x14ac:dyDescent="0.25">
      <c r="B16" s="538"/>
      <c r="C16" s="613" t="s">
        <v>708</v>
      </c>
      <c r="D16" s="536">
        <v>0</v>
      </c>
      <c r="E16" s="536"/>
      <c r="F16" s="536"/>
      <c r="G16" s="536">
        <f t="shared" si="4"/>
        <v>0</v>
      </c>
      <c r="H16" s="536">
        <f t="shared" si="5"/>
        <v>0</v>
      </c>
      <c r="I16" s="692"/>
      <c r="J16" s="692"/>
      <c r="K16" s="692"/>
      <c r="L16" s="692"/>
      <c r="M16" s="692"/>
      <c r="N16" s="692"/>
      <c r="O16" s="692"/>
    </row>
    <row r="17" spans="1:15" ht="15" hidden="1" outlineLevel="1" x14ac:dyDescent="0.25">
      <c r="A17" s="562"/>
      <c r="B17" s="538" t="s">
        <v>674</v>
      </c>
      <c r="C17" s="539" t="s">
        <v>709</v>
      </c>
      <c r="D17" s="536">
        <v>6778.4109635618515</v>
      </c>
      <c r="E17" s="536"/>
      <c r="F17" s="536"/>
      <c r="G17" s="536">
        <f t="shared" si="4"/>
        <v>6778.4109635618515</v>
      </c>
      <c r="H17" s="536">
        <f t="shared" si="5"/>
        <v>6778.4109635618515</v>
      </c>
      <c r="I17" s="761"/>
      <c r="J17" s="692"/>
      <c r="K17" s="692"/>
      <c r="L17" s="692"/>
      <c r="M17" s="692"/>
      <c r="N17" s="692"/>
      <c r="O17" s="692"/>
    </row>
    <row r="18" spans="1:15" s="537" customFormat="1" ht="30" collapsed="1" x14ac:dyDescent="0.25">
      <c r="A18" s="563"/>
      <c r="B18" s="538" t="s">
        <v>675</v>
      </c>
      <c r="C18" s="539" t="s">
        <v>710</v>
      </c>
      <c r="D18" s="536">
        <v>1215.1923651631673</v>
      </c>
      <c r="E18" s="536"/>
      <c r="F18" s="536"/>
      <c r="G18" s="536">
        <f t="shared" si="4"/>
        <v>1215.1923651631673</v>
      </c>
      <c r="H18" s="536">
        <f t="shared" si="5"/>
        <v>1215.1923651631673</v>
      </c>
      <c r="I18" s="761"/>
      <c r="J18" s="690"/>
      <c r="K18" s="690"/>
      <c r="L18" s="690"/>
      <c r="M18" s="690"/>
      <c r="N18" s="690"/>
      <c r="O18" s="690"/>
    </row>
    <row r="19" spans="1:15" s="537" customFormat="1" ht="15" x14ac:dyDescent="0.25">
      <c r="A19" s="562"/>
      <c r="B19" s="538" t="s">
        <v>676</v>
      </c>
      <c r="C19" s="540" t="s">
        <v>711</v>
      </c>
      <c r="D19" s="536">
        <v>520.61191836270893</v>
      </c>
      <c r="E19" s="536"/>
      <c r="F19" s="536"/>
      <c r="G19" s="536">
        <f t="shared" si="4"/>
        <v>520.61191836270893</v>
      </c>
      <c r="H19" s="536">
        <f t="shared" si="5"/>
        <v>520.61191836270893</v>
      </c>
      <c r="I19" s="761"/>
      <c r="J19" s="690"/>
      <c r="K19" s="690"/>
      <c r="L19" s="690"/>
      <c r="M19" s="690"/>
      <c r="N19" s="690"/>
      <c r="O19" s="690"/>
    </row>
    <row r="20" spans="1:15" s="537" customFormat="1" ht="15" x14ac:dyDescent="0.25">
      <c r="A20" s="562"/>
      <c r="B20" s="538" t="s">
        <v>677</v>
      </c>
      <c r="C20" s="540" t="s">
        <v>712</v>
      </c>
      <c r="D20" s="536"/>
      <c r="E20" s="536"/>
      <c r="F20" s="536"/>
      <c r="G20" s="536"/>
      <c r="H20" s="536"/>
      <c r="I20" s="761"/>
      <c r="J20" s="690"/>
      <c r="K20" s="690"/>
      <c r="L20" s="690"/>
      <c r="M20" s="690"/>
      <c r="N20" s="690"/>
      <c r="O20" s="690"/>
    </row>
    <row r="21" spans="1:15" s="537" customFormat="1" ht="30" x14ac:dyDescent="0.25">
      <c r="A21" s="562"/>
      <c r="B21" s="614" t="s">
        <v>678</v>
      </c>
      <c r="C21" s="587" t="s">
        <v>713</v>
      </c>
      <c r="D21" s="557">
        <v>1180.9670491380261</v>
      </c>
      <c r="E21" s="557"/>
      <c r="F21" s="557"/>
      <c r="G21" s="557">
        <f>'Расчет амортизации'!G10/1000</f>
        <v>1133.4884927360774</v>
      </c>
      <c r="H21" s="557">
        <f>'Расчет амортизации'!H10/1000</f>
        <v>1358.3529579782662</v>
      </c>
      <c r="I21" s="557">
        <f>'Расчет амортизации'!I10/1000</f>
        <v>2056.488821227028</v>
      </c>
      <c r="J21" s="557">
        <f>'Расчет амортизации'!J10/1000</f>
        <v>2322.4635376677056</v>
      </c>
      <c r="K21" s="557">
        <f>'Расчет амортизации'!K10/1000</f>
        <v>2327.9644813723062</v>
      </c>
      <c r="L21" s="557">
        <f>'Расчет амортизации'!L10/1000</f>
        <v>2365.3600624861078</v>
      </c>
      <c r="M21" s="557">
        <f>'Расчет амортизации'!M10/1000</f>
        <v>2374.2109140962193</v>
      </c>
      <c r="N21" s="557">
        <f>'Расчет амортизации'!N10/1000</f>
        <v>2851.1654987328479</v>
      </c>
      <c r="O21" s="557">
        <f>'Расчет амортизации'!O10/1000</f>
        <v>1495.0441081517351</v>
      </c>
    </row>
    <row r="22" spans="1:15" s="537" customFormat="1" ht="15" x14ac:dyDescent="0.25">
      <c r="A22" s="562"/>
      <c r="B22" s="538" t="s">
        <v>679</v>
      </c>
      <c r="C22" s="541" t="s">
        <v>714</v>
      </c>
      <c r="D22" s="536">
        <v>12704.398509581622</v>
      </c>
      <c r="E22" s="536"/>
      <c r="F22" s="536"/>
      <c r="G22" s="536">
        <f t="shared" ref="G22:G24" si="6">D22</f>
        <v>12704.398509581622</v>
      </c>
      <c r="H22" s="536">
        <f t="shared" ref="H22:H24" si="7">G22</f>
        <v>12704.398509581622</v>
      </c>
      <c r="I22" s="761"/>
      <c r="J22" s="690"/>
      <c r="K22" s="690"/>
      <c r="L22" s="690"/>
      <c r="M22" s="690"/>
      <c r="N22" s="690"/>
      <c r="O22" s="690"/>
    </row>
    <row r="23" spans="1:15" s="537" customFormat="1" ht="15" x14ac:dyDescent="0.25">
      <c r="A23" s="562"/>
      <c r="B23" s="538" t="s">
        <v>680</v>
      </c>
      <c r="C23" s="541" t="s">
        <v>715</v>
      </c>
      <c r="D23" s="536">
        <v>4497.900321631053</v>
      </c>
      <c r="E23" s="536"/>
      <c r="F23" s="536"/>
      <c r="G23" s="536">
        <f t="shared" si="6"/>
        <v>4497.900321631053</v>
      </c>
      <c r="H23" s="536">
        <f t="shared" si="7"/>
        <v>4497.900321631053</v>
      </c>
      <c r="I23" s="761"/>
      <c r="J23" s="690"/>
      <c r="K23" s="690"/>
      <c r="L23" s="690"/>
      <c r="M23" s="690"/>
      <c r="N23" s="690"/>
      <c r="O23" s="690"/>
    </row>
    <row r="24" spans="1:15" s="537" customFormat="1" ht="30" x14ac:dyDescent="0.25">
      <c r="A24" s="562"/>
      <c r="B24" s="538" t="s">
        <v>681</v>
      </c>
      <c r="C24" s="541" t="s">
        <v>716</v>
      </c>
      <c r="D24" s="536">
        <v>2084.7151119869623</v>
      </c>
      <c r="E24" s="536"/>
      <c r="F24" s="536"/>
      <c r="G24" s="536">
        <f t="shared" si="6"/>
        <v>2084.7151119869623</v>
      </c>
      <c r="H24" s="536">
        <f t="shared" si="7"/>
        <v>2084.7151119869623</v>
      </c>
      <c r="I24" s="761"/>
      <c r="J24" s="690"/>
      <c r="K24" s="690"/>
      <c r="L24" s="690"/>
      <c r="M24" s="690"/>
      <c r="N24" s="690"/>
      <c r="O24" s="690"/>
    </row>
    <row r="25" spans="1:15" s="537" customFormat="1" ht="45" x14ac:dyDescent="0.25">
      <c r="A25" s="562"/>
      <c r="B25" s="538" t="s">
        <v>682</v>
      </c>
      <c r="C25" s="541" t="s">
        <v>717</v>
      </c>
      <c r="D25" s="536">
        <v>0</v>
      </c>
      <c r="E25" s="536"/>
      <c r="F25" s="536"/>
      <c r="G25" s="536">
        <f>D25</f>
        <v>0</v>
      </c>
      <c r="H25" s="536">
        <f>G25</f>
        <v>0</v>
      </c>
      <c r="I25" s="761"/>
      <c r="J25" s="690"/>
      <c r="K25" s="690"/>
      <c r="L25" s="690"/>
      <c r="M25" s="690"/>
      <c r="N25" s="690"/>
      <c r="O25" s="690"/>
    </row>
    <row r="26" spans="1:15" ht="15" hidden="1" x14ac:dyDescent="0.25">
      <c r="B26" s="538"/>
      <c r="C26" s="612" t="s">
        <v>486</v>
      </c>
      <c r="D26" s="536">
        <v>0</v>
      </c>
      <c r="E26" s="536"/>
      <c r="F26" s="536"/>
      <c r="G26" s="536"/>
      <c r="H26" s="536"/>
      <c r="I26" s="761"/>
      <c r="J26" s="692"/>
      <c r="K26" s="692"/>
      <c r="L26" s="692"/>
      <c r="M26" s="692"/>
      <c r="N26" s="692"/>
      <c r="O26" s="692"/>
    </row>
    <row r="27" spans="1:15" s="542" customFormat="1" ht="15" hidden="1" outlineLevel="1" x14ac:dyDescent="0.2">
      <c r="A27" s="561"/>
      <c r="B27" s="538"/>
      <c r="C27" s="615"/>
      <c r="D27" s="536">
        <v>0</v>
      </c>
      <c r="E27" s="536"/>
      <c r="F27" s="536"/>
      <c r="G27" s="536"/>
      <c r="H27" s="536"/>
      <c r="I27" s="761"/>
      <c r="J27" s="762"/>
      <c r="K27" s="762"/>
      <c r="L27" s="762"/>
      <c r="M27" s="762"/>
      <c r="N27" s="762"/>
      <c r="O27" s="762"/>
    </row>
    <row r="28" spans="1:15" s="542" customFormat="1" ht="15" hidden="1" outlineLevel="1" x14ac:dyDescent="0.2">
      <c r="A28" s="561"/>
      <c r="B28" s="538"/>
      <c r="C28" s="615"/>
      <c r="D28" s="536">
        <v>0</v>
      </c>
      <c r="E28" s="536"/>
      <c r="F28" s="536"/>
      <c r="G28" s="536"/>
      <c r="H28" s="536"/>
      <c r="I28" s="761"/>
      <c r="J28" s="762"/>
      <c r="K28" s="762"/>
      <c r="L28" s="762"/>
      <c r="M28" s="762"/>
      <c r="N28" s="762"/>
      <c r="O28" s="762"/>
    </row>
    <row r="29" spans="1:15" s="542" customFormat="1" ht="15" hidden="1" outlineLevel="1" x14ac:dyDescent="0.2">
      <c r="A29" s="561"/>
      <c r="B29" s="538"/>
      <c r="C29" s="615"/>
      <c r="D29" s="536">
        <v>0</v>
      </c>
      <c r="E29" s="536"/>
      <c r="F29" s="536"/>
      <c r="G29" s="536"/>
      <c r="H29" s="536"/>
      <c r="I29" s="761"/>
      <c r="J29" s="762"/>
      <c r="K29" s="762"/>
      <c r="L29" s="762"/>
      <c r="M29" s="762"/>
      <c r="N29" s="762"/>
      <c r="O29" s="762"/>
    </row>
    <row r="30" spans="1:15" s="542" customFormat="1" ht="60" hidden="1" outlineLevel="1" x14ac:dyDescent="0.25">
      <c r="A30" s="562"/>
      <c r="B30" s="538" t="s">
        <v>683</v>
      </c>
      <c r="C30" s="541" t="s">
        <v>718</v>
      </c>
      <c r="D30" s="536">
        <v>1362.8942101032251</v>
      </c>
      <c r="E30" s="536"/>
      <c r="F30" s="536"/>
      <c r="G30" s="611">
        <f t="shared" ref="G30:H30" si="8">SUM(G31:G45)</f>
        <v>273.72539065916999</v>
      </c>
      <c r="H30" s="611">
        <f t="shared" si="8"/>
        <v>273.72539065916999</v>
      </c>
      <c r="I30" s="761"/>
      <c r="J30" s="762"/>
      <c r="K30" s="762"/>
      <c r="L30" s="762"/>
      <c r="M30" s="762"/>
      <c r="N30" s="762"/>
      <c r="O30" s="762"/>
    </row>
    <row r="31" spans="1:15" ht="15" collapsed="1" x14ac:dyDescent="0.25">
      <c r="B31" s="538"/>
      <c r="C31" s="612" t="s">
        <v>486</v>
      </c>
      <c r="D31" s="536"/>
      <c r="E31" s="536"/>
      <c r="F31" s="536"/>
      <c r="G31" s="536"/>
      <c r="H31" s="536"/>
      <c r="I31" s="761"/>
      <c r="J31" s="692"/>
      <c r="K31" s="692"/>
      <c r="L31" s="692"/>
      <c r="M31" s="692"/>
      <c r="N31" s="692"/>
      <c r="O31" s="692"/>
    </row>
    <row r="32" spans="1:15" ht="30" hidden="1" outlineLevel="1" x14ac:dyDescent="0.25">
      <c r="B32" s="538" t="s">
        <v>719</v>
      </c>
      <c r="C32" s="613" t="s">
        <v>720</v>
      </c>
      <c r="D32" s="536">
        <v>0</v>
      </c>
      <c r="E32" s="536"/>
      <c r="F32" s="536"/>
      <c r="G32" s="536">
        <f t="shared" ref="G32" si="9">D32</f>
        <v>0</v>
      </c>
      <c r="H32" s="536">
        <f t="shared" ref="H32" si="10">G32</f>
        <v>0</v>
      </c>
      <c r="I32" s="761"/>
      <c r="J32" s="692"/>
      <c r="K32" s="692"/>
      <c r="L32" s="692"/>
      <c r="M32" s="692"/>
      <c r="N32" s="692"/>
      <c r="O32" s="692"/>
    </row>
    <row r="33" spans="1:15" ht="45" hidden="1" outlineLevel="1" x14ac:dyDescent="0.25">
      <c r="B33" s="538" t="s">
        <v>721</v>
      </c>
      <c r="C33" s="613" t="s">
        <v>722</v>
      </c>
      <c r="D33" s="536">
        <v>0</v>
      </c>
      <c r="E33" s="536"/>
      <c r="F33" s="536"/>
      <c r="G33" s="536"/>
      <c r="H33" s="536"/>
      <c r="I33" s="761"/>
      <c r="J33" s="692"/>
      <c r="K33" s="692"/>
      <c r="L33" s="692"/>
      <c r="M33" s="692"/>
      <c r="N33" s="692"/>
      <c r="O33" s="692"/>
    </row>
    <row r="34" spans="1:15" ht="15" hidden="1" outlineLevel="1" x14ac:dyDescent="0.25">
      <c r="B34" s="538" t="s">
        <v>723</v>
      </c>
      <c r="C34" s="613" t="s">
        <v>863</v>
      </c>
      <c r="D34" s="536">
        <v>74.968178590512835</v>
      </c>
      <c r="E34" s="536"/>
      <c r="F34" s="536"/>
      <c r="G34" s="536"/>
      <c r="H34" s="536"/>
      <c r="I34" s="761"/>
      <c r="J34" s="692"/>
      <c r="K34" s="692"/>
      <c r="L34" s="692"/>
      <c r="M34" s="692"/>
      <c r="N34" s="692"/>
      <c r="O34" s="692"/>
    </row>
    <row r="35" spans="1:15" ht="30" hidden="1" outlineLevel="1" x14ac:dyDescent="0.25">
      <c r="B35" s="538" t="s">
        <v>724</v>
      </c>
      <c r="C35" s="613" t="s">
        <v>725</v>
      </c>
      <c r="D35" s="536">
        <v>273.72539065916999</v>
      </c>
      <c r="E35" s="536"/>
      <c r="F35" s="536"/>
      <c r="G35" s="536">
        <f t="shared" ref="G35:G36" si="11">D35</f>
        <v>273.72539065916999</v>
      </c>
      <c r="H35" s="536">
        <f t="shared" ref="H35:H36" si="12">G35</f>
        <v>273.72539065916999</v>
      </c>
      <c r="I35" s="761"/>
      <c r="J35" s="692"/>
      <c r="K35" s="692"/>
      <c r="L35" s="692"/>
      <c r="M35" s="692"/>
      <c r="N35" s="692"/>
      <c r="O35" s="692"/>
    </row>
    <row r="36" spans="1:15" ht="15" hidden="1" outlineLevel="1" x14ac:dyDescent="0.25">
      <c r="B36" s="538" t="s">
        <v>726</v>
      </c>
      <c r="C36" s="613" t="s">
        <v>727</v>
      </c>
      <c r="D36" s="536">
        <v>0</v>
      </c>
      <c r="E36" s="536"/>
      <c r="F36" s="536"/>
      <c r="G36" s="536">
        <f t="shared" si="11"/>
        <v>0</v>
      </c>
      <c r="H36" s="536">
        <f t="shared" si="12"/>
        <v>0</v>
      </c>
      <c r="I36" s="761"/>
      <c r="J36" s="692"/>
      <c r="K36" s="692"/>
      <c r="L36" s="692"/>
      <c r="M36" s="692"/>
      <c r="N36" s="692"/>
      <c r="O36" s="692"/>
    </row>
    <row r="37" spans="1:15" ht="30" hidden="1" outlineLevel="1" x14ac:dyDescent="0.25">
      <c r="B37" s="538" t="s">
        <v>728</v>
      </c>
      <c r="C37" s="613" t="s">
        <v>729</v>
      </c>
      <c r="D37" s="536">
        <v>75</v>
      </c>
      <c r="E37" s="536"/>
      <c r="F37" s="536"/>
      <c r="G37" s="536"/>
      <c r="H37" s="536"/>
      <c r="I37" s="761"/>
      <c r="J37" s="692"/>
      <c r="K37" s="692"/>
      <c r="L37" s="692"/>
      <c r="M37" s="692"/>
      <c r="N37" s="692"/>
      <c r="O37" s="692"/>
    </row>
    <row r="38" spans="1:15" ht="30" hidden="1" outlineLevel="1" x14ac:dyDescent="0.25">
      <c r="B38" s="538" t="s">
        <v>730</v>
      </c>
      <c r="C38" s="613" t="s">
        <v>731</v>
      </c>
      <c r="D38" s="536"/>
      <c r="E38" s="536"/>
      <c r="F38" s="536"/>
      <c r="G38" s="536"/>
      <c r="H38" s="536"/>
      <c r="I38" s="761"/>
      <c r="J38" s="692"/>
      <c r="K38" s="692"/>
      <c r="L38" s="692"/>
      <c r="M38" s="692"/>
      <c r="N38" s="692"/>
      <c r="O38" s="692"/>
    </row>
    <row r="39" spans="1:15" ht="60" hidden="1" outlineLevel="1" x14ac:dyDescent="0.25">
      <c r="B39" s="538" t="s">
        <v>732</v>
      </c>
      <c r="C39" s="613" t="s">
        <v>945</v>
      </c>
      <c r="D39" s="536">
        <v>0</v>
      </c>
      <c r="E39" s="536"/>
      <c r="F39" s="536"/>
      <c r="G39" s="536"/>
      <c r="H39" s="536"/>
      <c r="I39" s="761"/>
      <c r="J39" s="692"/>
      <c r="K39" s="692"/>
      <c r="L39" s="692"/>
      <c r="M39" s="692"/>
      <c r="N39" s="692"/>
      <c r="O39" s="692"/>
    </row>
    <row r="40" spans="1:15" ht="15" hidden="1" outlineLevel="1" x14ac:dyDescent="0.25">
      <c r="B40" s="538" t="s">
        <v>733</v>
      </c>
      <c r="C40" s="613" t="s">
        <v>734</v>
      </c>
      <c r="D40" s="536">
        <v>0</v>
      </c>
      <c r="E40" s="536"/>
      <c r="F40" s="536"/>
      <c r="G40" s="536"/>
      <c r="H40" s="536"/>
      <c r="I40" s="761"/>
      <c r="J40" s="692"/>
      <c r="K40" s="692"/>
      <c r="L40" s="692"/>
      <c r="M40" s="692"/>
      <c r="N40" s="692"/>
      <c r="O40" s="692"/>
    </row>
    <row r="41" spans="1:15" ht="30" hidden="1" outlineLevel="1" x14ac:dyDescent="0.25">
      <c r="B41" s="538" t="s">
        <v>735</v>
      </c>
      <c r="C41" s="613" t="s">
        <v>736</v>
      </c>
      <c r="D41" s="536">
        <v>0</v>
      </c>
      <c r="E41" s="536"/>
      <c r="F41" s="536"/>
      <c r="G41" s="536"/>
      <c r="H41" s="536"/>
      <c r="I41" s="761"/>
      <c r="J41" s="692"/>
      <c r="K41" s="692"/>
      <c r="L41" s="692"/>
      <c r="M41" s="692"/>
      <c r="N41" s="692"/>
      <c r="O41" s="692"/>
    </row>
    <row r="42" spans="1:15" ht="15" hidden="1" outlineLevel="1" x14ac:dyDescent="0.25">
      <c r="B42" s="538" t="s">
        <v>737</v>
      </c>
      <c r="C42" s="616" t="s">
        <v>864</v>
      </c>
      <c r="D42" s="536">
        <v>0.21352085354218112</v>
      </c>
      <c r="E42" s="536"/>
      <c r="F42" s="536"/>
      <c r="G42" s="536"/>
      <c r="H42" s="536"/>
      <c r="I42" s="761"/>
      <c r="J42" s="692"/>
      <c r="K42" s="692"/>
      <c r="L42" s="692"/>
      <c r="M42" s="692"/>
      <c r="N42" s="692"/>
      <c r="O42" s="692"/>
    </row>
    <row r="43" spans="1:15" ht="30" hidden="1" outlineLevel="1" x14ac:dyDescent="0.25">
      <c r="B43" s="538" t="s">
        <v>739</v>
      </c>
      <c r="C43" s="616" t="s">
        <v>738</v>
      </c>
      <c r="D43" s="536">
        <v>858.76412000000005</v>
      </c>
      <c r="E43" s="536"/>
      <c r="F43" s="536"/>
      <c r="G43" s="536"/>
      <c r="H43" s="536"/>
      <c r="I43" s="761"/>
      <c r="J43" s="692"/>
      <c r="K43" s="692"/>
      <c r="L43" s="692"/>
      <c r="M43" s="692"/>
      <c r="N43" s="692"/>
      <c r="O43" s="692"/>
    </row>
    <row r="44" spans="1:15" ht="30" hidden="1" outlineLevel="1" x14ac:dyDescent="0.25">
      <c r="B44" s="538" t="s">
        <v>865</v>
      </c>
      <c r="C44" s="616" t="s">
        <v>740</v>
      </c>
      <c r="D44" s="536">
        <v>80.222999999999999</v>
      </c>
      <c r="E44" s="536"/>
      <c r="F44" s="536"/>
      <c r="G44" s="536"/>
      <c r="H44" s="536"/>
      <c r="I44" s="761"/>
      <c r="J44" s="692"/>
      <c r="K44" s="692"/>
      <c r="L44" s="692"/>
      <c r="M44" s="692"/>
      <c r="N44" s="692"/>
      <c r="O44" s="692"/>
    </row>
    <row r="45" spans="1:15" ht="45" hidden="1" outlineLevel="1" x14ac:dyDescent="0.25">
      <c r="B45" s="538" t="s">
        <v>1017</v>
      </c>
      <c r="C45" s="616" t="s">
        <v>1020</v>
      </c>
      <c r="D45" s="536">
        <v>0</v>
      </c>
      <c r="E45" s="536"/>
      <c r="F45" s="536"/>
      <c r="G45" s="536"/>
      <c r="H45" s="536"/>
      <c r="I45" s="761"/>
      <c r="J45" s="692"/>
      <c r="K45" s="692"/>
      <c r="L45" s="692"/>
      <c r="M45" s="692"/>
      <c r="N45" s="692"/>
      <c r="O45" s="692"/>
    </row>
    <row r="46" spans="1:15" ht="105" collapsed="1" x14ac:dyDescent="0.25">
      <c r="A46" s="562"/>
      <c r="B46" s="538" t="s">
        <v>684</v>
      </c>
      <c r="C46" s="541" t="s">
        <v>866</v>
      </c>
      <c r="D46" s="536">
        <v>2007.9981788214884</v>
      </c>
      <c r="E46" s="536"/>
      <c r="F46" s="536"/>
      <c r="G46" s="611">
        <f>SUM(G47:G70,G76:G77)</f>
        <v>2007.9981788214884</v>
      </c>
      <c r="H46" s="611">
        <f t="shared" ref="H46:O46" si="13">SUM(H47:H70,H76:H77)</f>
        <v>2007.9981788214884</v>
      </c>
      <c r="I46" s="611">
        <f t="shared" si="13"/>
        <v>0</v>
      </c>
      <c r="J46" s="611">
        <f t="shared" si="13"/>
        <v>0</v>
      </c>
      <c r="K46" s="611">
        <f t="shared" si="13"/>
        <v>0</v>
      </c>
      <c r="L46" s="611">
        <f t="shared" si="13"/>
        <v>0</v>
      </c>
      <c r="M46" s="611">
        <f t="shared" si="13"/>
        <v>0</v>
      </c>
      <c r="N46" s="611">
        <f t="shared" si="13"/>
        <v>0</v>
      </c>
      <c r="O46" s="611">
        <f t="shared" si="13"/>
        <v>0</v>
      </c>
    </row>
    <row r="47" spans="1:15" ht="15" hidden="1" outlineLevel="1" x14ac:dyDescent="0.25">
      <c r="B47" s="538"/>
      <c r="C47" s="612" t="s">
        <v>486</v>
      </c>
      <c r="D47" s="536"/>
      <c r="E47" s="536"/>
      <c r="F47" s="536"/>
      <c r="G47" s="536"/>
      <c r="H47" s="536"/>
      <c r="I47" s="761"/>
      <c r="J47" s="692"/>
      <c r="K47" s="692"/>
      <c r="L47" s="692"/>
      <c r="M47" s="692"/>
      <c r="N47" s="692"/>
      <c r="O47" s="692"/>
    </row>
    <row r="48" spans="1:15" ht="15" hidden="1" outlineLevel="1" x14ac:dyDescent="0.25">
      <c r="B48" s="538" t="s">
        <v>742</v>
      </c>
      <c r="C48" s="616" t="s">
        <v>743</v>
      </c>
      <c r="D48" s="536">
        <v>15.881202491090168</v>
      </c>
      <c r="E48" s="536"/>
      <c r="F48" s="536"/>
      <c r="G48" s="536">
        <f t="shared" ref="G48:G84" si="14">D48</f>
        <v>15.881202491090168</v>
      </c>
      <c r="H48" s="536">
        <f t="shared" ref="H48:H84" si="15">G48</f>
        <v>15.881202491090168</v>
      </c>
      <c r="I48" s="761"/>
      <c r="J48" s="692"/>
      <c r="K48" s="692"/>
      <c r="L48" s="692"/>
      <c r="M48" s="692"/>
      <c r="N48" s="692"/>
      <c r="O48" s="692"/>
    </row>
    <row r="49" spans="1:15" ht="15" hidden="1" outlineLevel="1" x14ac:dyDescent="0.25">
      <c r="B49" s="538" t="s">
        <v>745</v>
      </c>
      <c r="C49" s="616" t="s">
        <v>867</v>
      </c>
      <c r="D49" s="536">
        <v>0</v>
      </c>
      <c r="E49" s="536"/>
      <c r="F49" s="536"/>
      <c r="G49" s="536">
        <f t="shared" si="14"/>
        <v>0</v>
      </c>
      <c r="H49" s="536">
        <f t="shared" si="15"/>
        <v>0</v>
      </c>
      <c r="I49" s="761"/>
      <c r="J49" s="692"/>
      <c r="K49" s="692"/>
      <c r="L49" s="692"/>
      <c r="M49" s="692"/>
      <c r="N49" s="692"/>
      <c r="O49" s="692"/>
    </row>
    <row r="50" spans="1:15" ht="15" hidden="1" outlineLevel="1" x14ac:dyDescent="0.25">
      <c r="B50" s="538" t="s">
        <v>748</v>
      </c>
      <c r="C50" s="616" t="s">
        <v>746</v>
      </c>
      <c r="D50" s="536">
        <v>76.608993673660734</v>
      </c>
      <c r="E50" s="536"/>
      <c r="F50" s="536"/>
      <c r="G50" s="536">
        <f t="shared" si="14"/>
        <v>76.608993673660734</v>
      </c>
      <c r="H50" s="536">
        <f t="shared" si="15"/>
        <v>76.608993673660734</v>
      </c>
      <c r="I50" s="761"/>
      <c r="J50" s="692"/>
      <c r="K50" s="692"/>
      <c r="L50" s="692"/>
      <c r="M50" s="692"/>
      <c r="N50" s="692"/>
      <c r="O50" s="692"/>
    </row>
    <row r="51" spans="1:15" ht="15" hidden="1" outlineLevel="1" x14ac:dyDescent="0.25">
      <c r="B51" s="538" t="s">
        <v>750</v>
      </c>
      <c r="C51" s="616" t="s">
        <v>749</v>
      </c>
      <c r="D51" s="536">
        <v>22.057492326408735</v>
      </c>
      <c r="E51" s="536"/>
      <c r="F51" s="536"/>
      <c r="G51" s="536">
        <f t="shared" si="14"/>
        <v>22.057492326408735</v>
      </c>
      <c r="H51" s="536">
        <f t="shared" si="15"/>
        <v>22.057492326408735</v>
      </c>
      <c r="I51" s="761"/>
      <c r="J51" s="692"/>
      <c r="K51" s="692"/>
      <c r="L51" s="692"/>
      <c r="M51" s="692"/>
      <c r="N51" s="692"/>
      <c r="O51" s="692"/>
    </row>
    <row r="52" spans="1:15" ht="30" hidden="1" outlineLevel="1" x14ac:dyDescent="0.25">
      <c r="B52" s="538" t="s">
        <v>752</v>
      </c>
      <c r="C52" s="616" t="s">
        <v>751</v>
      </c>
      <c r="D52" s="536">
        <v>1.3439782069946391</v>
      </c>
      <c r="E52" s="536"/>
      <c r="F52" s="536"/>
      <c r="G52" s="536">
        <f t="shared" si="14"/>
        <v>1.3439782069946391</v>
      </c>
      <c r="H52" s="536">
        <f t="shared" si="15"/>
        <v>1.3439782069946391</v>
      </c>
      <c r="I52" s="761"/>
      <c r="J52" s="692"/>
      <c r="K52" s="692"/>
      <c r="L52" s="692"/>
      <c r="M52" s="692"/>
      <c r="N52" s="692"/>
      <c r="O52" s="692"/>
    </row>
    <row r="53" spans="1:15" ht="15" hidden="1" outlineLevel="1" x14ac:dyDescent="0.25">
      <c r="B53" s="538" t="s">
        <v>754</v>
      </c>
      <c r="C53" s="616" t="s">
        <v>753</v>
      </c>
      <c r="D53" s="536">
        <v>0</v>
      </c>
      <c r="E53" s="536"/>
      <c r="F53" s="536"/>
      <c r="G53" s="536">
        <f t="shared" si="14"/>
        <v>0</v>
      </c>
      <c r="H53" s="536">
        <f t="shared" si="15"/>
        <v>0</v>
      </c>
      <c r="I53" s="761"/>
      <c r="J53" s="692"/>
      <c r="K53" s="692"/>
      <c r="L53" s="692"/>
      <c r="M53" s="692"/>
      <c r="N53" s="692"/>
      <c r="O53" s="692"/>
    </row>
    <row r="54" spans="1:15" ht="30" hidden="1" outlineLevel="1" x14ac:dyDescent="0.25">
      <c r="B54" s="538" t="s">
        <v>755</v>
      </c>
      <c r="C54" s="616" t="s">
        <v>868</v>
      </c>
      <c r="D54" s="536">
        <v>1.8561464420482092</v>
      </c>
      <c r="E54" s="536"/>
      <c r="F54" s="536"/>
      <c r="G54" s="536">
        <f t="shared" si="14"/>
        <v>1.8561464420482092</v>
      </c>
      <c r="H54" s="536">
        <f t="shared" si="15"/>
        <v>1.8561464420482092</v>
      </c>
      <c r="I54" s="761"/>
      <c r="J54" s="692"/>
      <c r="K54" s="692"/>
      <c r="L54" s="692"/>
      <c r="M54" s="692"/>
      <c r="N54" s="692"/>
      <c r="O54" s="692"/>
    </row>
    <row r="55" spans="1:15" ht="15" hidden="1" outlineLevel="1" x14ac:dyDescent="0.25">
      <c r="B55" s="538" t="s">
        <v>757</v>
      </c>
      <c r="C55" s="616" t="s">
        <v>756</v>
      </c>
      <c r="D55" s="536">
        <v>2.254672543286607</v>
      </c>
      <c r="E55" s="536"/>
      <c r="F55" s="536"/>
      <c r="G55" s="536">
        <f t="shared" si="14"/>
        <v>2.254672543286607</v>
      </c>
      <c r="H55" s="536">
        <f t="shared" si="15"/>
        <v>2.254672543286607</v>
      </c>
      <c r="I55" s="761"/>
      <c r="J55" s="692"/>
      <c r="K55" s="692"/>
      <c r="L55" s="692"/>
      <c r="M55" s="692"/>
      <c r="N55" s="692"/>
      <c r="O55" s="692"/>
    </row>
    <row r="56" spans="1:15" s="543" customFormat="1" ht="15" hidden="1" outlineLevel="1" x14ac:dyDescent="0.25">
      <c r="A56" s="561"/>
      <c r="B56" s="538" t="s">
        <v>759</v>
      </c>
      <c r="C56" s="616" t="s">
        <v>758</v>
      </c>
      <c r="D56" s="536">
        <v>11.694349279235183</v>
      </c>
      <c r="E56" s="536"/>
      <c r="F56" s="536"/>
      <c r="G56" s="536">
        <f t="shared" si="14"/>
        <v>11.694349279235183</v>
      </c>
      <c r="H56" s="536">
        <f t="shared" si="15"/>
        <v>11.694349279235183</v>
      </c>
      <c r="I56" s="761"/>
      <c r="J56" s="763"/>
      <c r="K56" s="763"/>
      <c r="L56" s="763"/>
      <c r="M56" s="763"/>
      <c r="N56" s="763"/>
      <c r="O56" s="763"/>
    </row>
    <row r="57" spans="1:15" ht="15" hidden="1" outlineLevel="1" x14ac:dyDescent="0.25">
      <c r="B57" s="538" t="s">
        <v>761</v>
      </c>
      <c r="C57" s="616" t="s">
        <v>760</v>
      </c>
      <c r="D57" s="536">
        <v>6.9609777912574833</v>
      </c>
      <c r="E57" s="536"/>
      <c r="F57" s="536"/>
      <c r="G57" s="536">
        <f t="shared" si="14"/>
        <v>6.9609777912574833</v>
      </c>
      <c r="H57" s="536">
        <f t="shared" si="15"/>
        <v>6.9609777912574833</v>
      </c>
      <c r="I57" s="761"/>
      <c r="J57" s="692"/>
      <c r="K57" s="692"/>
      <c r="L57" s="692"/>
      <c r="M57" s="692"/>
      <c r="N57" s="692"/>
      <c r="O57" s="692"/>
    </row>
    <row r="58" spans="1:15" ht="15" hidden="1" outlineLevel="1" x14ac:dyDescent="0.25">
      <c r="B58" s="538" t="s">
        <v>763</v>
      </c>
      <c r="C58" s="616" t="s">
        <v>762</v>
      </c>
      <c r="D58" s="536">
        <v>0</v>
      </c>
      <c r="E58" s="536"/>
      <c r="F58" s="536"/>
      <c r="G58" s="536">
        <f t="shared" si="14"/>
        <v>0</v>
      </c>
      <c r="H58" s="536">
        <f t="shared" si="15"/>
        <v>0</v>
      </c>
      <c r="I58" s="761"/>
      <c r="J58" s="692"/>
      <c r="K58" s="692"/>
      <c r="L58" s="692"/>
      <c r="M58" s="692"/>
      <c r="N58" s="692"/>
      <c r="O58" s="692"/>
    </row>
    <row r="59" spans="1:15" ht="30" hidden="1" outlineLevel="1" x14ac:dyDescent="0.25">
      <c r="B59" s="538" t="s">
        <v>765</v>
      </c>
      <c r="C59" s="616" t="s">
        <v>764</v>
      </c>
      <c r="D59" s="536"/>
      <c r="E59" s="536"/>
      <c r="F59" s="536"/>
      <c r="G59" s="536">
        <f t="shared" si="14"/>
        <v>0</v>
      </c>
      <c r="H59" s="536">
        <f t="shared" si="15"/>
        <v>0</v>
      </c>
      <c r="I59" s="761"/>
      <c r="J59" s="692"/>
      <c r="K59" s="692"/>
      <c r="L59" s="692"/>
      <c r="M59" s="692"/>
      <c r="N59" s="692"/>
      <c r="O59" s="692"/>
    </row>
    <row r="60" spans="1:15" ht="30" hidden="1" outlineLevel="1" x14ac:dyDescent="0.25">
      <c r="B60" s="538" t="s">
        <v>767</v>
      </c>
      <c r="C60" s="616" t="s">
        <v>766</v>
      </c>
      <c r="D60" s="536">
        <v>149.5731307994144</v>
      </c>
      <c r="E60" s="536"/>
      <c r="F60" s="536"/>
      <c r="G60" s="536">
        <f t="shared" si="14"/>
        <v>149.5731307994144</v>
      </c>
      <c r="H60" s="536">
        <f t="shared" si="15"/>
        <v>149.5731307994144</v>
      </c>
      <c r="I60" s="761"/>
      <c r="J60" s="692"/>
      <c r="K60" s="692"/>
      <c r="L60" s="692"/>
      <c r="M60" s="692"/>
      <c r="N60" s="692"/>
      <c r="O60" s="692"/>
    </row>
    <row r="61" spans="1:15" ht="15" hidden="1" outlineLevel="1" x14ac:dyDescent="0.25">
      <c r="B61" s="538" t="s">
        <v>768</v>
      </c>
      <c r="C61" s="616" t="s">
        <v>1021</v>
      </c>
      <c r="D61" s="536">
        <v>0</v>
      </c>
      <c r="E61" s="536"/>
      <c r="F61" s="536"/>
      <c r="G61" s="536">
        <f t="shared" si="14"/>
        <v>0</v>
      </c>
      <c r="H61" s="536">
        <f t="shared" si="15"/>
        <v>0</v>
      </c>
      <c r="I61" s="761"/>
      <c r="J61" s="692"/>
      <c r="K61" s="692"/>
      <c r="L61" s="692"/>
      <c r="M61" s="692"/>
      <c r="N61" s="692"/>
      <c r="O61" s="692"/>
    </row>
    <row r="62" spans="1:15" ht="15" hidden="1" outlineLevel="1" x14ac:dyDescent="0.25">
      <c r="B62" s="538" t="s">
        <v>770</v>
      </c>
      <c r="C62" s="616" t="s">
        <v>769</v>
      </c>
      <c r="D62" s="536">
        <v>396.23097652695333</v>
      </c>
      <c r="E62" s="536"/>
      <c r="F62" s="536"/>
      <c r="G62" s="536">
        <f t="shared" si="14"/>
        <v>396.23097652695333</v>
      </c>
      <c r="H62" s="536">
        <f t="shared" si="15"/>
        <v>396.23097652695333</v>
      </c>
      <c r="I62" s="761"/>
      <c r="J62" s="692"/>
      <c r="K62" s="692"/>
      <c r="L62" s="692"/>
      <c r="M62" s="692"/>
      <c r="N62" s="692"/>
      <c r="O62" s="692"/>
    </row>
    <row r="63" spans="1:15" ht="15" hidden="1" outlineLevel="1" x14ac:dyDescent="0.25">
      <c r="B63" s="538" t="s">
        <v>772</v>
      </c>
      <c r="C63" s="616" t="s">
        <v>771</v>
      </c>
      <c r="D63" s="536">
        <v>23.608289639711916</v>
      </c>
      <c r="E63" s="536"/>
      <c r="F63" s="536"/>
      <c r="G63" s="536">
        <f t="shared" si="14"/>
        <v>23.608289639711916</v>
      </c>
      <c r="H63" s="536">
        <f t="shared" si="15"/>
        <v>23.608289639711916</v>
      </c>
      <c r="I63" s="761"/>
      <c r="J63" s="692"/>
      <c r="K63" s="692"/>
      <c r="L63" s="692"/>
      <c r="M63" s="692"/>
      <c r="N63" s="692"/>
      <c r="O63" s="692"/>
    </row>
    <row r="64" spans="1:15" ht="15" hidden="1" outlineLevel="1" x14ac:dyDescent="0.25">
      <c r="B64" s="538" t="s">
        <v>774</v>
      </c>
      <c r="C64" s="616" t="s">
        <v>773</v>
      </c>
      <c r="D64" s="536">
        <v>211.51723057374926</v>
      </c>
      <c r="E64" s="536"/>
      <c r="F64" s="536"/>
      <c r="G64" s="536">
        <f t="shared" si="14"/>
        <v>211.51723057374926</v>
      </c>
      <c r="H64" s="536">
        <f t="shared" si="15"/>
        <v>211.51723057374926</v>
      </c>
      <c r="I64" s="761"/>
      <c r="J64" s="692"/>
      <c r="K64" s="692"/>
      <c r="L64" s="692"/>
      <c r="M64" s="692"/>
      <c r="N64" s="692"/>
      <c r="O64" s="692"/>
    </row>
    <row r="65" spans="1:15" ht="15" hidden="1" outlineLevel="1" x14ac:dyDescent="0.25">
      <c r="B65" s="538" t="s">
        <v>776</v>
      </c>
      <c r="C65" s="616" t="s">
        <v>775</v>
      </c>
      <c r="D65" s="536">
        <v>778.93129280694848</v>
      </c>
      <c r="E65" s="536"/>
      <c r="F65" s="536"/>
      <c r="G65" s="536">
        <f t="shared" si="14"/>
        <v>778.93129280694848</v>
      </c>
      <c r="H65" s="536">
        <f t="shared" si="15"/>
        <v>778.93129280694848</v>
      </c>
      <c r="I65" s="761"/>
      <c r="J65" s="692"/>
      <c r="K65" s="692"/>
      <c r="L65" s="692"/>
      <c r="M65" s="692"/>
      <c r="N65" s="692"/>
      <c r="O65" s="692"/>
    </row>
    <row r="66" spans="1:15" ht="15" hidden="1" outlineLevel="1" x14ac:dyDescent="0.25">
      <c r="B66" s="538" t="s">
        <v>778</v>
      </c>
      <c r="C66" s="616" t="s">
        <v>777</v>
      </c>
      <c r="D66" s="536">
        <v>3.0212585999999995</v>
      </c>
      <c r="E66" s="536"/>
      <c r="F66" s="536"/>
      <c r="G66" s="536">
        <f t="shared" si="14"/>
        <v>3.0212585999999995</v>
      </c>
      <c r="H66" s="536">
        <f t="shared" si="15"/>
        <v>3.0212585999999995</v>
      </c>
      <c r="I66" s="761"/>
      <c r="J66" s="692"/>
      <c r="K66" s="692"/>
      <c r="L66" s="692"/>
      <c r="M66" s="692"/>
      <c r="N66" s="692"/>
      <c r="O66" s="692"/>
    </row>
    <row r="67" spans="1:15" ht="15" hidden="1" outlineLevel="1" x14ac:dyDescent="0.25">
      <c r="B67" s="538" t="s">
        <v>780</v>
      </c>
      <c r="C67" s="616" t="s">
        <v>779</v>
      </c>
      <c r="D67" s="536">
        <v>146.45887563238404</v>
      </c>
      <c r="E67" s="536"/>
      <c r="F67" s="536"/>
      <c r="G67" s="536">
        <f t="shared" si="14"/>
        <v>146.45887563238404</v>
      </c>
      <c r="H67" s="536">
        <f t="shared" si="15"/>
        <v>146.45887563238404</v>
      </c>
      <c r="I67" s="761"/>
      <c r="J67" s="692"/>
      <c r="K67" s="692"/>
      <c r="L67" s="692"/>
      <c r="M67" s="692"/>
      <c r="N67" s="692"/>
      <c r="O67" s="692"/>
    </row>
    <row r="68" spans="1:15" ht="15" hidden="1" outlineLevel="1" x14ac:dyDescent="0.25">
      <c r="B68" s="538" t="s">
        <v>782</v>
      </c>
      <c r="C68" s="616" t="s">
        <v>781</v>
      </c>
      <c r="D68" s="536">
        <v>0</v>
      </c>
      <c r="E68" s="536"/>
      <c r="F68" s="536"/>
      <c r="G68" s="536">
        <f t="shared" si="14"/>
        <v>0</v>
      </c>
      <c r="H68" s="536">
        <f t="shared" si="15"/>
        <v>0</v>
      </c>
      <c r="I68" s="761"/>
      <c r="J68" s="692"/>
      <c r="K68" s="692"/>
      <c r="L68" s="692"/>
      <c r="M68" s="692"/>
      <c r="N68" s="692"/>
      <c r="O68" s="692"/>
    </row>
    <row r="69" spans="1:15" ht="15" hidden="1" outlineLevel="1" x14ac:dyDescent="0.25">
      <c r="B69" s="538" t="s">
        <v>784</v>
      </c>
      <c r="C69" s="616" t="s">
        <v>783</v>
      </c>
      <c r="D69" s="536">
        <v>38.780660928877296</v>
      </c>
      <c r="E69" s="536"/>
      <c r="F69" s="536"/>
      <c r="G69" s="536">
        <f t="shared" si="14"/>
        <v>38.780660928877296</v>
      </c>
      <c r="H69" s="536">
        <f t="shared" si="15"/>
        <v>38.780660928877296</v>
      </c>
      <c r="I69" s="761"/>
      <c r="J69" s="692"/>
      <c r="K69" s="692"/>
      <c r="L69" s="692"/>
      <c r="M69" s="692"/>
      <c r="N69" s="692"/>
      <c r="O69" s="692"/>
    </row>
    <row r="70" spans="1:15" ht="15" hidden="1" outlineLevel="2" x14ac:dyDescent="0.25">
      <c r="B70" s="538" t="s">
        <v>791</v>
      </c>
      <c r="C70" s="616" t="s">
        <v>785</v>
      </c>
      <c r="D70" s="536">
        <v>102.72200809709436</v>
      </c>
      <c r="E70" s="536"/>
      <c r="F70" s="536"/>
      <c r="G70" s="536">
        <f t="shared" si="14"/>
        <v>102.72200809709436</v>
      </c>
      <c r="H70" s="536">
        <f t="shared" si="15"/>
        <v>102.72200809709436</v>
      </c>
      <c r="I70" s="761"/>
      <c r="J70" s="692"/>
      <c r="K70" s="692"/>
      <c r="L70" s="692"/>
      <c r="M70" s="692"/>
      <c r="N70" s="692"/>
      <c r="O70" s="692"/>
    </row>
    <row r="71" spans="1:15" ht="15" hidden="1" outlineLevel="2" x14ac:dyDescent="0.2">
      <c r="B71" s="538" t="s">
        <v>869</v>
      </c>
      <c r="C71" s="617" t="s">
        <v>786</v>
      </c>
      <c r="D71" s="592">
        <v>66.100550547824582</v>
      </c>
      <c r="E71" s="592"/>
      <c r="F71" s="592"/>
      <c r="G71" s="536">
        <f t="shared" si="14"/>
        <v>66.100550547824582</v>
      </c>
      <c r="H71" s="536">
        <f t="shared" si="15"/>
        <v>66.100550547824582</v>
      </c>
      <c r="I71" s="761"/>
      <c r="J71" s="692"/>
      <c r="K71" s="692"/>
      <c r="L71" s="692"/>
      <c r="M71" s="692"/>
      <c r="N71" s="692"/>
      <c r="O71" s="692"/>
    </row>
    <row r="72" spans="1:15" ht="15" hidden="1" outlineLevel="2" x14ac:dyDescent="0.2">
      <c r="B72" s="538" t="s">
        <v>870</v>
      </c>
      <c r="C72" s="617" t="s">
        <v>787</v>
      </c>
      <c r="D72" s="536">
        <v>1.2875950751898246</v>
      </c>
      <c r="E72" s="536"/>
      <c r="F72" s="536"/>
      <c r="G72" s="536">
        <f t="shared" si="14"/>
        <v>1.2875950751898246</v>
      </c>
      <c r="H72" s="536">
        <f t="shared" si="15"/>
        <v>1.2875950751898246</v>
      </c>
      <c r="I72" s="761"/>
      <c r="J72" s="692"/>
      <c r="K72" s="692"/>
      <c r="L72" s="692"/>
      <c r="M72" s="692"/>
      <c r="N72" s="692"/>
      <c r="O72" s="692"/>
    </row>
    <row r="73" spans="1:15" ht="15" hidden="1" outlineLevel="2" x14ac:dyDescent="0.2">
      <c r="B73" s="538" t="s">
        <v>871</v>
      </c>
      <c r="C73" s="617" t="s">
        <v>788</v>
      </c>
      <c r="D73" s="536">
        <v>1.5657312143324047</v>
      </c>
      <c r="E73" s="536"/>
      <c r="F73" s="536"/>
      <c r="G73" s="536">
        <f t="shared" si="14"/>
        <v>1.5657312143324047</v>
      </c>
      <c r="H73" s="536">
        <f t="shared" si="15"/>
        <v>1.5657312143324047</v>
      </c>
      <c r="I73" s="761"/>
      <c r="J73" s="692"/>
      <c r="K73" s="692"/>
      <c r="L73" s="692"/>
      <c r="M73" s="692"/>
      <c r="N73" s="692"/>
      <c r="O73" s="692"/>
    </row>
    <row r="74" spans="1:15" ht="15" hidden="1" outlineLevel="2" x14ac:dyDescent="0.2">
      <c r="B74" s="538" t="s">
        <v>872</v>
      </c>
      <c r="C74" s="617" t="s">
        <v>789</v>
      </c>
      <c r="D74" s="536">
        <v>32.5510240850736</v>
      </c>
      <c r="E74" s="536"/>
      <c r="F74" s="536"/>
      <c r="G74" s="536">
        <f t="shared" si="14"/>
        <v>32.5510240850736</v>
      </c>
      <c r="H74" s="536">
        <f t="shared" si="15"/>
        <v>32.5510240850736</v>
      </c>
      <c r="I74" s="761"/>
      <c r="J74" s="692"/>
      <c r="K74" s="692"/>
      <c r="L74" s="692"/>
      <c r="M74" s="692"/>
      <c r="N74" s="692"/>
      <c r="O74" s="692"/>
    </row>
    <row r="75" spans="1:15" ht="15" hidden="1" outlineLevel="1" collapsed="1" x14ac:dyDescent="0.2">
      <c r="B75" s="538" t="s">
        <v>873</v>
      </c>
      <c r="C75" s="617" t="s">
        <v>790</v>
      </c>
      <c r="D75" s="536">
        <v>1.2171071746739606</v>
      </c>
      <c r="E75" s="536"/>
      <c r="F75" s="536"/>
      <c r="G75" s="536">
        <f t="shared" si="14"/>
        <v>1.2171071746739606</v>
      </c>
      <c r="H75" s="536">
        <f t="shared" si="15"/>
        <v>1.2171071746739606</v>
      </c>
      <c r="I75" s="761"/>
      <c r="J75" s="692"/>
      <c r="K75" s="692"/>
      <c r="L75" s="692"/>
      <c r="M75" s="692"/>
      <c r="N75" s="692"/>
      <c r="O75" s="692"/>
    </row>
    <row r="76" spans="1:15" ht="15" hidden="1" outlineLevel="1" x14ac:dyDescent="0.25">
      <c r="B76" s="538" t="s">
        <v>874</v>
      </c>
      <c r="C76" s="616" t="s">
        <v>792</v>
      </c>
      <c r="D76" s="592">
        <v>18.496642462373419</v>
      </c>
      <c r="E76" s="592"/>
      <c r="F76" s="592"/>
      <c r="G76" s="536">
        <f t="shared" si="14"/>
        <v>18.496642462373419</v>
      </c>
      <c r="H76" s="536">
        <f t="shared" si="15"/>
        <v>18.496642462373419</v>
      </c>
      <c r="I76" s="761"/>
      <c r="J76" s="692"/>
      <c r="K76" s="692"/>
      <c r="L76" s="692"/>
      <c r="M76" s="692"/>
      <c r="N76" s="692"/>
      <c r="O76" s="692"/>
    </row>
    <row r="77" spans="1:15" s="435" customFormat="1" ht="15" collapsed="1" x14ac:dyDescent="0.25">
      <c r="A77" s="561"/>
      <c r="B77" s="538"/>
      <c r="C77" s="616" t="s">
        <v>793</v>
      </c>
      <c r="D77" s="536"/>
      <c r="E77" s="536"/>
      <c r="F77" s="536"/>
      <c r="G77" s="536">
        <f t="shared" si="14"/>
        <v>0</v>
      </c>
      <c r="H77" s="536">
        <f t="shared" si="15"/>
        <v>0</v>
      </c>
      <c r="I77" s="761"/>
      <c r="J77" s="764"/>
      <c r="K77" s="764"/>
      <c r="L77" s="764"/>
      <c r="M77" s="764"/>
      <c r="N77" s="764"/>
      <c r="O77" s="764"/>
    </row>
    <row r="78" spans="1:15" ht="90" x14ac:dyDescent="0.25">
      <c r="A78" s="562"/>
      <c r="B78" s="538" t="s">
        <v>685</v>
      </c>
      <c r="C78" s="541" t="s">
        <v>794</v>
      </c>
      <c r="D78" s="536">
        <v>15.553699999999999</v>
      </c>
      <c r="E78" s="536"/>
      <c r="F78" s="536"/>
      <c r="G78" s="536">
        <f t="shared" si="14"/>
        <v>15.553699999999999</v>
      </c>
      <c r="H78" s="536">
        <f t="shared" si="15"/>
        <v>15.553699999999999</v>
      </c>
      <c r="I78" s="761"/>
      <c r="J78" s="692"/>
      <c r="K78" s="692"/>
      <c r="L78" s="692"/>
      <c r="M78" s="692"/>
      <c r="N78" s="692"/>
      <c r="O78" s="692"/>
    </row>
    <row r="79" spans="1:15" ht="30" x14ac:dyDescent="0.25">
      <c r="A79" s="562"/>
      <c r="B79" s="538" t="s">
        <v>686</v>
      </c>
      <c r="C79" s="541" t="s">
        <v>796</v>
      </c>
      <c r="D79" s="536">
        <v>4376.182936762546</v>
      </c>
      <c r="E79" s="536"/>
      <c r="F79" s="536"/>
      <c r="G79" s="536">
        <f t="shared" si="14"/>
        <v>4376.182936762546</v>
      </c>
      <c r="H79" s="536">
        <f t="shared" si="15"/>
        <v>4376.182936762546</v>
      </c>
      <c r="I79" s="761"/>
      <c r="J79" s="692"/>
      <c r="K79" s="692"/>
      <c r="L79" s="692"/>
      <c r="M79" s="692"/>
      <c r="N79" s="692"/>
      <c r="O79" s="692"/>
    </row>
    <row r="80" spans="1:15" ht="15" x14ac:dyDescent="0.25">
      <c r="A80" s="562"/>
      <c r="B80" s="538" t="s">
        <v>797</v>
      </c>
      <c r="C80" s="541" t="s">
        <v>798</v>
      </c>
      <c r="D80" s="536">
        <v>115</v>
      </c>
      <c r="E80" s="536"/>
      <c r="F80" s="536"/>
      <c r="G80" s="536">
        <f t="shared" si="14"/>
        <v>115</v>
      </c>
      <c r="H80" s="536">
        <f t="shared" si="15"/>
        <v>115</v>
      </c>
      <c r="I80" s="761"/>
      <c r="J80" s="692"/>
      <c r="K80" s="692"/>
      <c r="L80" s="692"/>
      <c r="M80" s="692"/>
      <c r="N80" s="692"/>
      <c r="O80" s="692"/>
    </row>
    <row r="81" spans="1:15" s="435" customFormat="1" ht="30" x14ac:dyDescent="0.25">
      <c r="A81" s="562"/>
      <c r="B81" s="538" t="s">
        <v>799</v>
      </c>
      <c r="C81" s="541" t="s">
        <v>946</v>
      </c>
      <c r="D81" s="536">
        <v>0</v>
      </c>
      <c r="E81" s="536"/>
      <c r="F81" s="536"/>
      <c r="G81" s="536">
        <f t="shared" si="14"/>
        <v>0</v>
      </c>
      <c r="H81" s="536">
        <f t="shared" si="15"/>
        <v>0</v>
      </c>
      <c r="I81" s="761"/>
      <c r="J81" s="764"/>
      <c r="K81" s="764"/>
      <c r="L81" s="764"/>
      <c r="M81" s="764"/>
      <c r="N81" s="764"/>
      <c r="O81" s="764"/>
    </row>
    <row r="82" spans="1:15" ht="15" x14ac:dyDescent="0.25">
      <c r="A82" s="562"/>
      <c r="B82" s="538" t="s">
        <v>801</v>
      </c>
      <c r="C82" s="541" t="s">
        <v>800</v>
      </c>
      <c r="D82" s="536">
        <v>31.703091222451857</v>
      </c>
      <c r="E82" s="536"/>
      <c r="F82" s="536"/>
      <c r="G82" s="536">
        <f t="shared" si="14"/>
        <v>31.703091222451857</v>
      </c>
      <c r="H82" s="536">
        <f t="shared" si="15"/>
        <v>31.703091222451857</v>
      </c>
      <c r="I82" s="761"/>
      <c r="J82" s="692"/>
      <c r="K82" s="692"/>
      <c r="L82" s="692"/>
      <c r="M82" s="692"/>
      <c r="N82" s="692"/>
      <c r="O82" s="692"/>
    </row>
    <row r="83" spans="1:15" ht="45" x14ac:dyDescent="0.25">
      <c r="A83" s="562"/>
      <c r="B83" s="538" t="s">
        <v>803</v>
      </c>
      <c r="C83" s="541" t="s">
        <v>802</v>
      </c>
      <c r="D83" s="536">
        <v>0</v>
      </c>
      <c r="E83" s="536"/>
      <c r="F83" s="536"/>
      <c r="G83" s="536">
        <f t="shared" si="14"/>
        <v>0</v>
      </c>
      <c r="H83" s="536">
        <f t="shared" si="15"/>
        <v>0</v>
      </c>
      <c r="I83" s="761"/>
      <c r="J83" s="692"/>
      <c r="K83" s="692"/>
      <c r="L83" s="692"/>
      <c r="M83" s="692"/>
      <c r="N83" s="692"/>
      <c r="O83" s="692"/>
    </row>
    <row r="84" spans="1:15" ht="15" x14ac:dyDescent="0.25">
      <c r="A84" s="562"/>
      <c r="B84" s="538" t="s">
        <v>876</v>
      </c>
      <c r="C84" s="541" t="s">
        <v>875</v>
      </c>
      <c r="D84" s="536">
        <v>3.4516079346534343</v>
      </c>
      <c r="E84" s="536"/>
      <c r="F84" s="536"/>
      <c r="G84" s="536">
        <f t="shared" si="14"/>
        <v>3.4516079346534343</v>
      </c>
      <c r="H84" s="536">
        <f t="shared" si="15"/>
        <v>3.4516079346534343</v>
      </c>
      <c r="I84" s="761"/>
      <c r="J84" s="692"/>
      <c r="K84" s="692"/>
      <c r="L84" s="692"/>
      <c r="M84" s="692"/>
      <c r="N84" s="692"/>
      <c r="O84" s="692"/>
    </row>
    <row r="85" spans="1:15" ht="45" x14ac:dyDescent="0.25">
      <c r="B85" s="538" t="s">
        <v>947</v>
      </c>
      <c r="C85" s="541" t="s">
        <v>877</v>
      </c>
      <c r="D85" s="536">
        <v>13.326700883660527</v>
      </c>
      <c r="E85" s="536"/>
      <c r="F85" s="536"/>
      <c r="G85" s="611">
        <f>SUM(G86:G90)</f>
        <v>13.326700883660527</v>
      </c>
      <c r="H85" s="611">
        <f t="shared" ref="H85:O85" si="16">SUM(H86:H90)</f>
        <v>13.326700883660527</v>
      </c>
      <c r="I85" s="611">
        <f t="shared" si="16"/>
        <v>0</v>
      </c>
      <c r="J85" s="611">
        <f t="shared" si="16"/>
        <v>0</v>
      </c>
      <c r="K85" s="611">
        <f t="shared" si="16"/>
        <v>0</v>
      </c>
      <c r="L85" s="611">
        <f t="shared" si="16"/>
        <v>0</v>
      </c>
      <c r="M85" s="611">
        <f t="shared" si="16"/>
        <v>0</v>
      </c>
      <c r="N85" s="611">
        <f t="shared" si="16"/>
        <v>0</v>
      </c>
      <c r="O85" s="611">
        <f t="shared" si="16"/>
        <v>0</v>
      </c>
    </row>
    <row r="86" spans="1:15" ht="15" x14ac:dyDescent="0.25">
      <c r="B86" s="538" t="s">
        <v>948</v>
      </c>
      <c r="C86" s="589" t="s">
        <v>804</v>
      </c>
      <c r="D86" s="536">
        <v>1.1638041395757397</v>
      </c>
      <c r="E86" s="536"/>
      <c r="F86" s="536"/>
      <c r="G86" s="536">
        <f t="shared" ref="G86:G98" si="17">D86</f>
        <v>1.1638041395757397</v>
      </c>
      <c r="H86" s="536">
        <f t="shared" ref="H86:H98" si="18">G86</f>
        <v>1.1638041395757397</v>
      </c>
      <c r="I86" s="761"/>
      <c r="J86" s="692"/>
      <c r="K86" s="692"/>
      <c r="L86" s="692"/>
      <c r="M86" s="692"/>
      <c r="N86" s="692"/>
      <c r="O86" s="692"/>
    </row>
    <row r="87" spans="1:15" ht="15" x14ac:dyDescent="0.25">
      <c r="B87" s="538" t="s">
        <v>949</v>
      </c>
      <c r="C87" s="589" t="s">
        <v>805</v>
      </c>
      <c r="D87" s="536">
        <v>0</v>
      </c>
      <c r="E87" s="536"/>
      <c r="F87" s="536"/>
      <c r="G87" s="536">
        <f t="shared" si="17"/>
        <v>0</v>
      </c>
      <c r="H87" s="536">
        <f t="shared" si="18"/>
        <v>0</v>
      </c>
      <c r="I87" s="761"/>
      <c r="J87" s="692"/>
      <c r="K87" s="692"/>
      <c r="L87" s="692"/>
      <c r="M87" s="692"/>
      <c r="N87" s="692"/>
      <c r="O87" s="692"/>
    </row>
    <row r="88" spans="1:15" s="542" customFormat="1" ht="15" outlineLevel="1" x14ac:dyDescent="0.25">
      <c r="A88" s="561"/>
      <c r="B88" s="538" t="s">
        <v>950</v>
      </c>
      <c r="C88" s="589" t="s">
        <v>806</v>
      </c>
      <c r="D88" s="536">
        <v>12.162896744084787</v>
      </c>
      <c r="E88" s="536"/>
      <c r="F88" s="536"/>
      <c r="G88" s="536">
        <f t="shared" si="17"/>
        <v>12.162896744084787</v>
      </c>
      <c r="H88" s="536">
        <f t="shared" si="18"/>
        <v>12.162896744084787</v>
      </c>
      <c r="I88" s="761"/>
      <c r="J88" s="762"/>
      <c r="K88" s="762"/>
      <c r="L88" s="762"/>
      <c r="M88" s="762"/>
      <c r="N88" s="762"/>
      <c r="O88" s="762"/>
    </row>
    <row r="89" spans="1:15" s="542" customFormat="1" ht="15" outlineLevel="1" x14ac:dyDescent="0.25">
      <c r="A89" s="561"/>
      <c r="B89" s="538" t="s">
        <v>951</v>
      </c>
      <c r="C89" s="589" t="s">
        <v>807</v>
      </c>
      <c r="D89" s="536">
        <v>0</v>
      </c>
      <c r="E89" s="536"/>
      <c r="F89" s="536"/>
      <c r="G89" s="536">
        <f t="shared" si="17"/>
        <v>0</v>
      </c>
      <c r="H89" s="536">
        <f t="shared" si="18"/>
        <v>0</v>
      </c>
      <c r="I89" s="761"/>
      <c r="J89" s="762"/>
      <c r="K89" s="762"/>
      <c r="L89" s="762"/>
      <c r="M89" s="762"/>
      <c r="N89" s="762"/>
      <c r="O89" s="762"/>
    </row>
    <row r="90" spans="1:15" s="542" customFormat="1" ht="15" hidden="1" outlineLevel="1" x14ac:dyDescent="0.25">
      <c r="A90" s="561"/>
      <c r="B90" s="538" t="s">
        <v>952</v>
      </c>
      <c r="C90" s="589" t="s">
        <v>808</v>
      </c>
      <c r="D90" s="555">
        <v>0</v>
      </c>
      <c r="E90" s="555"/>
      <c r="F90" s="555"/>
      <c r="G90" s="536">
        <f t="shared" si="17"/>
        <v>0</v>
      </c>
      <c r="H90" s="536">
        <f t="shared" si="18"/>
        <v>0</v>
      </c>
      <c r="I90" s="761"/>
      <c r="J90" s="762"/>
      <c r="K90" s="762"/>
      <c r="L90" s="762"/>
      <c r="M90" s="762"/>
      <c r="N90" s="762"/>
      <c r="O90" s="762"/>
    </row>
    <row r="91" spans="1:15" s="542" customFormat="1" ht="15" hidden="1" outlineLevel="1" x14ac:dyDescent="0.25">
      <c r="A91" s="561"/>
      <c r="B91" s="538" t="s">
        <v>809</v>
      </c>
      <c r="C91" s="618"/>
      <c r="D91" s="555"/>
      <c r="E91" s="555"/>
      <c r="F91" s="555"/>
      <c r="G91" s="536">
        <f t="shared" si="17"/>
        <v>0</v>
      </c>
      <c r="H91" s="536">
        <f t="shared" si="18"/>
        <v>0</v>
      </c>
      <c r="I91" s="761"/>
      <c r="J91" s="762"/>
      <c r="K91" s="762"/>
      <c r="L91" s="762"/>
      <c r="M91" s="762"/>
      <c r="N91" s="762"/>
      <c r="O91" s="762"/>
    </row>
    <row r="92" spans="1:15" s="542" customFormat="1" ht="15" hidden="1" outlineLevel="1" x14ac:dyDescent="0.25">
      <c r="A92" s="561"/>
      <c r="B92" s="538" t="s">
        <v>810</v>
      </c>
      <c r="C92" s="618"/>
      <c r="D92" s="555"/>
      <c r="E92" s="555"/>
      <c r="F92" s="555"/>
      <c r="G92" s="536">
        <f t="shared" si="17"/>
        <v>0</v>
      </c>
      <c r="H92" s="536">
        <f t="shared" si="18"/>
        <v>0</v>
      </c>
      <c r="I92" s="761"/>
      <c r="J92" s="762"/>
      <c r="K92" s="762"/>
      <c r="L92" s="762"/>
      <c r="M92" s="762"/>
      <c r="N92" s="762"/>
      <c r="O92" s="762"/>
    </row>
    <row r="93" spans="1:15" s="542" customFormat="1" ht="15" hidden="1" outlineLevel="1" x14ac:dyDescent="0.25">
      <c r="A93" s="561"/>
      <c r="B93" s="538" t="s">
        <v>811</v>
      </c>
      <c r="C93" s="618"/>
      <c r="D93" s="555"/>
      <c r="E93" s="555"/>
      <c r="F93" s="555"/>
      <c r="G93" s="536">
        <f t="shared" si="17"/>
        <v>0</v>
      </c>
      <c r="H93" s="536">
        <f t="shared" si="18"/>
        <v>0</v>
      </c>
      <c r="I93" s="761"/>
      <c r="J93" s="762"/>
      <c r="K93" s="762"/>
      <c r="L93" s="762"/>
      <c r="M93" s="762"/>
      <c r="N93" s="762"/>
      <c r="O93" s="762"/>
    </row>
    <row r="94" spans="1:15" s="542" customFormat="1" ht="15" hidden="1" outlineLevel="1" x14ac:dyDescent="0.25">
      <c r="A94" s="561"/>
      <c r="B94" s="538" t="s">
        <v>812</v>
      </c>
      <c r="C94" s="618"/>
      <c r="D94" s="555"/>
      <c r="E94" s="555"/>
      <c r="F94" s="555"/>
      <c r="G94" s="536">
        <f t="shared" si="17"/>
        <v>0</v>
      </c>
      <c r="H94" s="536">
        <f t="shared" si="18"/>
        <v>0</v>
      </c>
      <c r="I94" s="761"/>
      <c r="J94" s="762"/>
      <c r="K94" s="762"/>
      <c r="L94" s="762"/>
      <c r="M94" s="762"/>
      <c r="N94" s="762"/>
      <c r="O94" s="762"/>
    </row>
    <row r="95" spans="1:15" s="542" customFormat="1" ht="15" hidden="1" outlineLevel="1" x14ac:dyDescent="0.25">
      <c r="A95" s="561"/>
      <c r="B95" s="538" t="s">
        <v>813</v>
      </c>
      <c r="C95" s="618"/>
      <c r="D95" s="555"/>
      <c r="E95" s="536"/>
      <c r="F95" s="536"/>
      <c r="G95" s="536">
        <f t="shared" si="17"/>
        <v>0</v>
      </c>
      <c r="H95" s="536">
        <f t="shared" si="18"/>
        <v>0</v>
      </c>
      <c r="I95" s="761"/>
      <c r="J95" s="762"/>
      <c r="K95" s="762"/>
      <c r="L95" s="762"/>
      <c r="M95" s="762"/>
      <c r="N95" s="762"/>
      <c r="O95" s="762"/>
    </row>
    <row r="96" spans="1:15" ht="15" hidden="1" x14ac:dyDescent="0.25">
      <c r="B96" s="538" t="s">
        <v>814</v>
      </c>
      <c r="C96" s="618"/>
      <c r="D96" s="536"/>
      <c r="E96" s="536"/>
      <c r="F96" s="536"/>
      <c r="G96" s="536">
        <f t="shared" si="17"/>
        <v>0</v>
      </c>
      <c r="H96" s="536">
        <f t="shared" si="18"/>
        <v>0</v>
      </c>
      <c r="I96" s="761"/>
      <c r="J96" s="692"/>
      <c r="K96" s="692"/>
      <c r="L96" s="692"/>
      <c r="M96" s="692"/>
      <c r="N96" s="692"/>
      <c r="O96" s="692"/>
    </row>
    <row r="97" spans="1:15" ht="15" hidden="1" x14ac:dyDescent="0.25">
      <c r="B97" s="538" t="s">
        <v>815</v>
      </c>
      <c r="C97" s="618"/>
      <c r="D97" s="536"/>
      <c r="E97" s="536"/>
      <c r="F97" s="536"/>
      <c r="G97" s="536">
        <f t="shared" si="17"/>
        <v>0</v>
      </c>
      <c r="H97" s="536">
        <f t="shared" si="18"/>
        <v>0</v>
      </c>
      <c r="I97" s="761"/>
      <c r="J97" s="692"/>
      <c r="K97" s="692"/>
      <c r="L97" s="692"/>
      <c r="M97" s="692"/>
      <c r="N97" s="692"/>
      <c r="O97" s="692"/>
    </row>
    <row r="98" spans="1:15" ht="15" x14ac:dyDescent="0.25">
      <c r="A98" s="562"/>
      <c r="B98" s="538" t="s">
        <v>816</v>
      </c>
      <c r="C98" s="618"/>
      <c r="D98" s="536"/>
      <c r="E98" s="536"/>
      <c r="F98" s="536"/>
      <c r="G98" s="536">
        <f t="shared" si="17"/>
        <v>0</v>
      </c>
      <c r="H98" s="536">
        <f t="shared" si="18"/>
        <v>0</v>
      </c>
      <c r="I98" s="761"/>
      <c r="J98" s="692"/>
      <c r="K98" s="692"/>
      <c r="L98" s="692"/>
      <c r="M98" s="692"/>
      <c r="N98" s="692"/>
      <c r="O98" s="692"/>
    </row>
    <row r="99" spans="1:15" ht="15" x14ac:dyDescent="0.2">
      <c r="B99" s="588" t="s">
        <v>452</v>
      </c>
      <c r="C99" s="619" t="s">
        <v>498</v>
      </c>
      <c r="D99" s="536">
        <v>235.88089477540638</v>
      </c>
      <c r="E99" s="536"/>
      <c r="F99" s="536"/>
      <c r="G99" s="611">
        <f t="shared" ref="G99:H99" si="19">SUM(G100:G103)</f>
        <v>1690.2465821737305</v>
      </c>
      <c r="H99" s="611">
        <f t="shared" si="19"/>
        <v>1614.6625537645248</v>
      </c>
      <c r="I99" s="611">
        <f t="shared" ref="I99:O99" si="20">SUM(I100:I103)</f>
        <v>0</v>
      </c>
      <c r="J99" s="611">
        <f t="shared" si="20"/>
        <v>0</v>
      </c>
      <c r="K99" s="611">
        <f t="shared" si="20"/>
        <v>0</v>
      </c>
      <c r="L99" s="611">
        <f t="shared" si="20"/>
        <v>0</v>
      </c>
      <c r="M99" s="611">
        <f t="shared" si="20"/>
        <v>0</v>
      </c>
      <c r="N99" s="611">
        <f t="shared" si="20"/>
        <v>0</v>
      </c>
      <c r="O99" s="611">
        <f t="shared" si="20"/>
        <v>0</v>
      </c>
    </row>
    <row r="100" spans="1:15" ht="45" x14ac:dyDescent="0.25">
      <c r="B100" s="538" t="s">
        <v>687</v>
      </c>
      <c r="C100" s="541" t="s">
        <v>817</v>
      </c>
      <c r="D100" s="536">
        <v>0</v>
      </c>
      <c r="E100" s="536"/>
      <c r="F100" s="536"/>
      <c r="G100" s="536"/>
      <c r="H100" s="536"/>
      <c r="I100" s="761"/>
      <c r="J100" s="692"/>
      <c r="K100" s="692"/>
      <c r="L100" s="692"/>
      <c r="M100" s="692"/>
      <c r="N100" s="692"/>
      <c r="O100" s="692"/>
    </row>
    <row r="101" spans="1:15" ht="15" x14ac:dyDescent="0.25">
      <c r="B101" s="538" t="s">
        <v>688</v>
      </c>
      <c r="C101" s="541" t="s">
        <v>818</v>
      </c>
      <c r="D101" s="536">
        <v>26.877287908259472</v>
      </c>
      <c r="E101" s="536"/>
      <c r="F101" s="536"/>
      <c r="G101" s="536">
        <f t="shared" ref="G101" si="21">D101</f>
        <v>26.877287908259472</v>
      </c>
      <c r="H101" s="536">
        <f t="shared" ref="H101" si="22">G101</f>
        <v>26.877287908259472</v>
      </c>
      <c r="I101" s="761"/>
      <c r="J101" s="692"/>
      <c r="K101" s="692"/>
      <c r="L101" s="692"/>
      <c r="M101" s="692"/>
      <c r="N101" s="692"/>
      <c r="O101" s="692"/>
    </row>
    <row r="102" spans="1:15" ht="60" x14ac:dyDescent="0.25">
      <c r="B102" s="538" t="s">
        <v>689</v>
      </c>
      <c r="C102" s="541" t="s">
        <v>819</v>
      </c>
      <c r="D102" s="536">
        <v>0</v>
      </c>
      <c r="E102" s="536"/>
      <c r="F102" s="536"/>
      <c r="G102" s="536"/>
      <c r="H102" s="536"/>
      <c r="I102" s="761"/>
      <c r="J102" s="692"/>
      <c r="K102" s="692"/>
      <c r="L102" s="692"/>
      <c r="M102" s="692"/>
      <c r="N102" s="692"/>
      <c r="O102" s="692"/>
    </row>
    <row r="103" spans="1:15" ht="15" x14ac:dyDescent="0.25">
      <c r="B103" s="538" t="s">
        <v>690</v>
      </c>
      <c r="C103" s="541" t="s">
        <v>820</v>
      </c>
      <c r="D103" s="536">
        <v>209.00360686714691</v>
      </c>
      <c r="E103" s="536"/>
      <c r="F103" s="536"/>
      <c r="G103" s="611">
        <f t="shared" ref="G103:O103" si="23">SUM(G104:G109)</f>
        <v>1663.3692942654711</v>
      </c>
      <c r="H103" s="611">
        <f t="shared" si="23"/>
        <v>1587.7852658562654</v>
      </c>
      <c r="I103" s="611">
        <f t="shared" si="23"/>
        <v>0</v>
      </c>
      <c r="J103" s="611">
        <f t="shared" si="23"/>
        <v>0</v>
      </c>
      <c r="K103" s="611">
        <f t="shared" si="23"/>
        <v>0</v>
      </c>
      <c r="L103" s="611">
        <f t="shared" si="23"/>
        <v>0</v>
      </c>
      <c r="M103" s="611">
        <f t="shared" si="23"/>
        <v>0</v>
      </c>
      <c r="N103" s="611">
        <f t="shared" si="23"/>
        <v>0</v>
      </c>
      <c r="O103" s="611">
        <f t="shared" si="23"/>
        <v>0</v>
      </c>
    </row>
    <row r="104" spans="1:15" ht="15" x14ac:dyDescent="0.25">
      <c r="A104" s="562"/>
      <c r="B104" s="538" t="s">
        <v>821</v>
      </c>
      <c r="C104" s="589" t="s">
        <v>822</v>
      </c>
      <c r="D104" s="536">
        <v>86.769588357259948</v>
      </c>
      <c r="E104" s="536"/>
      <c r="F104" s="536"/>
      <c r="G104" s="536"/>
      <c r="H104" s="536"/>
      <c r="I104" s="761"/>
      <c r="J104" s="692"/>
      <c r="K104" s="692"/>
      <c r="L104" s="692"/>
      <c r="M104" s="692"/>
      <c r="N104" s="692"/>
      <c r="O104" s="692"/>
    </row>
    <row r="105" spans="1:15" ht="15" x14ac:dyDescent="0.25">
      <c r="B105" s="614" t="s">
        <v>823</v>
      </c>
      <c r="C105" s="590" t="s">
        <v>824</v>
      </c>
      <c r="D105" s="557">
        <v>71.753997030929227</v>
      </c>
      <c r="E105" s="557"/>
      <c r="F105" s="557"/>
      <c r="G105" s="557">
        <v>1612.8892727865134</v>
      </c>
      <c r="H105" s="557">
        <v>1537.3052443773076</v>
      </c>
      <c r="I105" s="557"/>
      <c r="J105" s="557"/>
      <c r="K105" s="557"/>
      <c r="L105" s="557"/>
      <c r="M105" s="557"/>
      <c r="N105" s="557"/>
      <c r="O105" s="557"/>
    </row>
    <row r="106" spans="1:15" ht="30" x14ac:dyDescent="0.25">
      <c r="B106" s="538" t="s">
        <v>825</v>
      </c>
      <c r="C106" s="589" t="s">
        <v>826</v>
      </c>
      <c r="D106" s="536"/>
      <c r="E106" s="536"/>
      <c r="F106" s="536"/>
      <c r="G106" s="536"/>
      <c r="H106" s="536"/>
      <c r="I106" s="761"/>
      <c r="J106" s="761"/>
      <c r="K106" s="761"/>
      <c r="L106" s="692"/>
      <c r="M106" s="692"/>
      <c r="N106" s="692"/>
      <c r="O106" s="692"/>
    </row>
    <row r="107" spans="1:15" ht="30" x14ac:dyDescent="0.25">
      <c r="B107" s="538" t="s">
        <v>827</v>
      </c>
      <c r="C107" s="589" t="s">
        <v>828</v>
      </c>
      <c r="D107" s="536">
        <v>0</v>
      </c>
      <c r="E107" s="536"/>
      <c r="F107" s="536"/>
      <c r="G107" s="536"/>
      <c r="H107" s="536"/>
      <c r="I107" s="761"/>
      <c r="J107" s="692"/>
      <c r="K107" s="692"/>
      <c r="L107" s="692"/>
      <c r="M107" s="692"/>
      <c r="N107" s="692"/>
      <c r="O107" s="692"/>
    </row>
    <row r="108" spans="1:15" ht="15" x14ac:dyDescent="0.25">
      <c r="B108" s="538" t="s">
        <v>829</v>
      </c>
      <c r="C108" s="589" t="s">
        <v>830</v>
      </c>
      <c r="D108" s="536">
        <v>29.170637487797404</v>
      </c>
      <c r="E108" s="536"/>
      <c r="F108" s="536"/>
      <c r="G108" s="536">
        <f t="shared" ref="G108:G109" si="24">D108</f>
        <v>29.170637487797404</v>
      </c>
      <c r="H108" s="536">
        <f t="shared" ref="H108:H109" si="25">G108</f>
        <v>29.170637487797404</v>
      </c>
      <c r="I108" s="761"/>
      <c r="J108" s="692"/>
      <c r="K108" s="692"/>
      <c r="L108" s="692"/>
      <c r="M108" s="692"/>
      <c r="N108" s="692"/>
      <c r="O108" s="692"/>
    </row>
    <row r="109" spans="1:15" ht="15" x14ac:dyDescent="0.25">
      <c r="A109" s="562"/>
      <c r="B109" s="538" t="s">
        <v>831</v>
      </c>
      <c r="C109" s="589" t="s">
        <v>832</v>
      </c>
      <c r="D109" s="536">
        <v>21.309383991160328</v>
      </c>
      <c r="E109" s="536"/>
      <c r="F109" s="536"/>
      <c r="G109" s="536">
        <f t="shared" si="24"/>
        <v>21.309383991160328</v>
      </c>
      <c r="H109" s="536">
        <f t="shared" si="25"/>
        <v>21.309383991160328</v>
      </c>
      <c r="I109" s="761"/>
      <c r="J109" s="692"/>
      <c r="K109" s="692"/>
      <c r="L109" s="692"/>
      <c r="M109" s="692"/>
      <c r="N109" s="692"/>
      <c r="O109" s="692"/>
    </row>
    <row r="110" spans="1:15" ht="28.5" x14ac:dyDescent="0.2">
      <c r="A110" s="562"/>
      <c r="B110" s="588" t="s">
        <v>453</v>
      </c>
      <c r="C110" s="620" t="s">
        <v>833</v>
      </c>
      <c r="D110" s="536">
        <v>3749.9747448910912</v>
      </c>
      <c r="E110" s="536"/>
      <c r="F110" s="536"/>
      <c r="G110" s="611">
        <f t="shared" ref="G110:H110" si="26">SUM(G111,G116)</f>
        <v>3512.7882695905309</v>
      </c>
      <c r="H110" s="611">
        <f t="shared" si="26"/>
        <v>3512.7882695905309</v>
      </c>
      <c r="I110" s="611">
        <f t="shared" ref="I110:O110" si="27">SUM(I111,I116)</f>
        <v>0</v>
      </c>
      <c r="J110" s="611">
        <f t="shared" si="27"/>
        <v>0</v>
      </c>
      <c r="K110" s="611">
        <f t="shared" si="27"/>
        <v>0</v>
      </c>
      <c r="L110" s="611">
        <f t="shared" si="27"/>
        <v>0</v>
      </c>
      <c r="M110" s="611">
        <f t="shared" si="27"/>
        <v>0</v>
      </c>
      <c r="N110" s="611">
        <f t="shared" si="27"/>
        <v>0</v>
      </c>
      <c r="O110" s="611">
        <f t="shared" si="27"/>
        <v>0</v>
      </c>
    </row>
    <row r="111" spans="1:15" s="537" customFormat="1" ht="30" x14ac:dyDescent="0.25">
      <c r="A111" s="582"/>
      <c r="B111" s="538" t="s">
        <v>696</v>
      </c>
      <c r="C111" s="541" t="s">
        <v>1022</v>
      </c>
      <c r="D111" s="536">
        <v>2307.0995957292807</v>
      </c>
      <c r="E111" s="536"/>
      <c r="F111" s="536"/>
      <c r="G111" s="611">
        <f t="shared" ref="G111:H111" si="28">SUM(G112:G115)</f>
        <v>2101.8146558776398</v>
      </c>
      <c r="H111" s="611">
        <f t="shared" si="28"/>
        <v>2101.8146558776398</v>
      </c>
      <c r="I111" s="611">
        <f t="shared" ref="I111:O111" si="29">SUM(I112:I115)</f>
        <v>0</v>
      </c>
      <c r="J111" s="611">
        <f t="shared" si="29"/>
        <v>0</v>
      </c>
      <c r="K111" s="611">
        <f t="shared" si="29"/>
        <v>0</v>
      </c>
      <c r="L111" s="611">
        <f t="shared" si="29"/>
        <v>0</v>
      </c>
      <c r="M111" s="611">
        <f t="shared" si="29"/>
        <v>0</v>
      </c>
      <c r="N111" s="611">
        <f t="shared" si="29"/>
        <v>0</v>
      </c>
      <c r="O111" s="611">
        <f t="shared" si="29"/>
        <v>0</v>
      </c>
    </row>
    <row r="112" spans="1:15" s="545" customFormat="1" ht="30" x14ac:dyDescent="0.25">
      <c r="A112" s="561"/>
      <c r="B112" s="766" t="s">
        <v>697</v>
      </c>
      <c r="C112" s="767" t="s">
        <v>834</v>
      </c>
      <c r="D112" s="768">
        <v>2101.8146558776398</v>
      </c>
      <c r="E112" s="768"/>
      <c r="F112" s="768"/>
      <c r="G112" s="768">
        <f t="shared" ref="G112" si="30">D112</f>
        <v>2101.8146558776398</v>
      </c>
      <c r="H112" s="768">
        <f t="shared" ref="H112" si="31">G112</f>
        <v>2101.8146558776398</v>
      </c>
      <c r="I112" s="769"/>
      <c r="J112" s="770"/>
      <c r="K112" s="770"/>
      <c r="L112" s="770"/>
      <c r="M112" s="770"/>
      <c r="N112" s="770"/>
      <c r="O112" s="770"/>
    </row>
    <row r="113" spans="1:15" s="545" customFormat="1" ht="30" x14ac:dyDescent="0.25">
      <c r="A113" s="561"/>
      <c r="B113" s="538" t="s">
        <v>698</v>
      </c>
      <c r="C113" s="541" t="s">
        <v>835</v>
      </c>
      <c r="D113" s="536">
        <v>205.28493985164073</v>
      </c>
      <c r="E113" s="536"/>
      <c r="F113" s="536"/>
      <c r="G113" s="536"/>
      <c r="H113" s="536"/>
      <c r="I113" s="761"/>
      <c r="J113" s="765"/>
      <c r="K113" s="765"/>
      <c r="L113" s="765"/>
      <c r="M113" s="765"/>
      <c r="N113" s="765"/>
      <c r="O113" s="765"/>
    </row>
    <row r="114" spans="1:15" s="545" customFormat="1" ht="15" x14ac:dyDescent="0.25">
      <c r="A114" s="561"/>
      <c r="B114" s="538" t="s">
        <v>1018</v>
      </c>
      <c r="C114" s="541" t="s">
        <v>836</v>
      </c>
      <c r="D114" s="536">
        <v>0</v>
      </c>
      <c r="E114" s="536"/>
      <c r="F114" s="536"/>
      <c r="G114" s="536"/>
      <c r="H114" s="536"/>
      <c r="I114" s="761"/>
      <c r="J114" s="765"/>
      <c r="K114" s="765"/>
      <c r="L114" s="765"/>
      <c r="M114" s="765"/>
      <c r="N114" s="765"/>
      <c r="O114" s="765"/>
    </row>
    <row r="115" spans="1:15" s="545" customFormat="1" ht="15" x14ac:dyDescent="0.25">
      <c r="A115" s="561"/>
      <c r="B115" s="538" t="s">
        <v>1019</v>
      </c>
      <c r="C115" s="541" t="s">
        <v>837</v>
      </c>
      <c r="D115" s="536">
        <v>0</v>
      </c>
      <c r="E115" s="536"/>
      <c r="F115" s="536"/>
      <c r="G115" s="536"/>
      <c r="H115" s="536"/>
      <c r="I115" s="761"/>
      <c r="J115" s="765"/>
      <c r="K115" s="765"/>
      <c r="L115" s="765"/>
      <c r="M115" s="765"/>
      <c r="N115" s="765"/>
      <c r="O115" s="765"/>
    </row>
    <row r="116" spans="1:15" s="545" customFormat="1" ht="15" x14ac:dyDescent="0.25">
      <c r="A116" s="561"/>
      <c r="B116" s="538" t="s">
        <v>699</v>
      </c>
      <c r="C116" s="541" t="s">
        <v>1023</v>
      </c>
      <c r="D116" s="536">
        <v>1442.8751491618104</v>
      </c>
      <c r="E116" s="536"/>
      <c r="F116" s="536"/>
      <c r="G116" s="536">
        <f>(G9-G17-G21-G122)*5%</f>
        <v>1410.9736137128912</v>
      </c>
      <c r="H116" s="536">
        <f>(H9-H17-H21-H122)*5%</f>
        <v>1410.9736137128912</v>
      </c>
      <c r="I116" s="761"/>
      <c r="J116" s="765"/>
      <c r="K116" s="765"/>
      <c r="L116" s="765"/>
      <c r="M116" s="765"/>
      <c r="N116" s="765"/>
      <c r="O116" s="765"/>
    </row>
    <row r="117" spans="1:15" s="545" customFormat="1" ht="15" x14ac:dyDescent="0.25">
      <c r="A117" s="561"/>
      <c r="B117" s="538" t="s">
        <v>495</v>
      </c>
      <c r="C117" s="541" t="s">
        <v>502</v>
      </c>
      <c r="D117" s="536">
        <v>944.21300819983753</v>
      </c>
      <c r="E117" s="536"/>
      <c r="F117" s="536"/>
      <c r="G117" s="536">
        <f>(G110+G101)/0.8*0.2</f>
        <v>884.9163893746977</v>
      </c>
      <c r="H117" s="536">
        <f>(H110+H101)/0.8*0.2</f>
        <v>884.9163893746977</v>
      </c>
      <c r="I117" s="536">
        <f t="shared" ref="I117:O117" si="32">(I110+I101)/0.8*0.2</f>
        <v>0</v>
      </c>
      <c r="J117" s="536">
        <f t="shared" si="32"/>
        <v>0</v>
      </c>
      <c r="K117" s="536">
        <f t="shared" si="32"/>
        <v>0</v>
      </c>
      <c r="L117" s="536">
        <f t="shared" si="32"/>
        <v>0</v>
      </c>
      <c r="M117" s="536">
        <f t="shared" si="32"/>
        <v>0</v>
      </c>
      <c r="N117" s="536">
        <f t="shared" si="32"/>
        <v>0</v>
      </c>
      <c r="O117" s="536">
        <f t="shared" si="32"/>
        <v>0</v>
      </c>
    </row>
    <row r="118" spans="1:15" s="545" customFormat="1" ht="15" x14ac:dyDescent="0.25">
      <c r="A118" s="561"/>
      <c r="B118" s="538" t="s">
        <v>499</v>
      </c>
      <c r="C118" s="541" t="s">
        <v>838</v>
      </c>
      <c r="D118" s="536">
        <v>0</v>
      </c>
      <c r="E118" s="536"/>
      <c r="F118" s="536"/>
      <c r="G118" s="536"/>
      <c r="H118" s="536"/>
      <c r="I118" s="761"/>
      <c r="J118" s="765"/>
      <c r="K118" s="765"/>
      <c r="L118" s="765"/>
      <c r="M118" s="765"/>
      <c r="N118" s="765"/>
      <c r="O118" s="765"/>
    </row>
    <row r="119" spans="1:15" s="545" customFormat="1" ht="15" x14ac:dyDescent="0.2">
      <c r="A119" s="561"/>
      <c r="B119" s="538" t="s">
        <v>501</v>
      </c>
      <c r="C119" s="716" t="s">
        <v>839</v>
      </c>
      <c r="D119" s="544">
        <v>42198.087754268097</v>
      </c>
      <c r="E119" s="544"/>
      <c r="F119" s="544"/>
      <c r="G119" s="544">
        <f t="shared" ref="G119:H119" si="33">G9+G99+G110+G117+G118</f>
        <v>42219.322971694703</v>
      </c>
      <c r="H119" s="544">
        <f t="shared" si="33"/>
        <v>42368.603408527684</v>
      </c>
      <c r="I119" s="544">
        <f t="shared" ref="I119:O119" si="34">I9+I99+I110+I117+I118</f>
        <v>2056.488821227028</v>
      </c>
      <c r="J119" s="544">
        <f t="shared" si="34"/>
        <v>2322.4635376677056</v>
      </c>
      <c r="K119" s="544">
        <f t="shared" si="34"/>
        <v>2327.9644813723062</v>
      </c>
      <c r="L119" s="544">
        <f t="shared" si="34"/>
        <v>2365.3600624861078</v>
      </c>
      <c r="M119" s="544">
        <f t="shared" si="34"/>
        <v>2374.2109140962193</v>
      </c>
      <c r="N119" s="544">
        <f t="shared" si="34"/>
        <v>2851.1654987328479</v>
      </c>
      <c r="O119" s="544">
        <f t="shared" si="34"/>
        <v>1495.0441081517351</v>
      </c>
    </row>
    <row r="120" spans="1:15" ht="15" hidden="1" x14ac:dyDescent="0.25">
      <c r="A120" s="562"/>
      <c r="B120" s="538" t="s">
        <v>795</v>
      </c>
      <c r="C120" s="541" t="s">
        <v>840</v>
      </c>
      <c r="D120" s="536"/>
      <c r="E120" s="536"/>
      <c r="F120" s="536"/>
      <c r="G120" s="536"/>
      <c r="H120" s="536"/>
    </row>
    <row r="121" spans="1:15" ht="15" hidden="1" x14ac:dyDescent="0.25">
      <c r="A121" s="562"/>
      <c r="B121" s="538" t="s">
        <v>741</v>
      </c>
      <c r="C121" s="541" t="s">
        <v>841</v>
      </c>
      <c r="D121" s="536">
        <v>31730.970162562331</v>
      </c>
      <c r="E121" s="536"/>
      <c r="F121" s="536"/>
      <c r="G121" s="611" t="e">
        <f>#REF!-G122</f>
        <v>#REF!</v>
      </c>
      <c r="H121" s="611" t="e">
        <f>#REF!-H122</f>
        <v>#REF!</v>
      </c>
    </row>
    <row r="122" spans="1:15" ht="15" hidden="1" x14ac:dyDescent="0.25">
      <c r="A122" s="562"/>
      <c r="B122" s="538" t="s">
        <v>744</v>
      </c>
      <c r="C122" s="541" t="s">
        <v>842</v>
      </c>
      <c r="D122" s="536">
        <v>536.90644386964618</v>
      </c>
      <c r="E122" s="536"/>
      <c r="F122" s="536"/>
      <c r="G122" s="536"/>
      <c r="H122" s="536"/>
    </row>
    <row r="123" spans="1:15" ht="15" hidden="1" x14ac:dyDescent="0.25">
      <c r="B123" s="538" t="s">
        <v>747</v>
      </c>
      <c r="C123" s="541" t="s">
        <v>878</v>
      </c>
      <c r="D123" s="536">
        <v>0</v>
      </c>
      <c r="E123" s="536"/>
      <c r="F123" s="536"/>
      <c r="G123" s="536"/>
      <c r="H123" s="536"/>
    </row>
    <row r="124" spans="1:15" ht="15" x14ac:dyDescent="0.25">
      <c r="D124" s="551"/>
      <c r="E124" s="533"/>
      <c r="F124" s="533"/>
      <c r="G124" s="551"/>
      <c r="H124" s="551"/>
    </row>
    <row r="125" spans="1:15" ht="15" x14ac:dyDescent="0.25">
      <c r="C125" s="436" t="s">
        <v>843</v>
      </c>
      <c r="D125" s="552">
        <v>1.9436949999999997</v>
      </c>
      <c r="E125" s="546"/>
      <c r="F125" s="546"/>
      <c r="G125" s="552">
        <v>1.9436949999999997</v>
      </c>
      <c r="H125" s="552">
        <v>1.9436949999999997</v>
      </c>
      <c r="I125" s="552">
        <v>1.9436949999999997</v>
      </c>
      <c r="J125" s="552">
        <v>1.9436949999999997</v>
      </c>
      <c r="K125" s="552">
        <v>1.9436949999999997</v>
      </c>
      <c r="L125" s="552">
        <v>1.9436949999999997</v>
      </c>
      <c r="M125" s="552">
        <v>1.9436949999999997</v>
      </c>
      <c r="N125" s="552">
        <v>1.9436949999999997</v>
      </c>
      <c r="O125" s="552">
        <v>1.9436949999999997</v>
      </c>
    </row>
    <row r="126" spans="1:15" ht="15" hidden="1" x14ac:dyDescent="0.25">
      <c r="C126" s="436" t="s">
        <v>844</v>
      </c>
      <c r="D126" s="553"/>
      <c r="E126" s="547">
        <v>13962.935560385924</v>
      </c>
      <c r="F126" s="547"/>
      <c r="G126" s="553"/>
      <c r="H126" s="553"/>
      <c r="I126" s="553"/>
      <c r="J126" s="553"/>
      <c r="K126" s="553"/>
      <c r="L126" s="553"/>
      <c r="M126" s="553"/>
      <c r="N126" s="553"/>
      <c r="O126" s="553"/>
    </row>
    <row r="127" spans="1:15" ht="15" x14ac:dyDescent="0.25">
      <c r="C127" s="436" t="s">
        <v>845</v>
      </c>
      <c r="D127" s="553">
        <f>D117/D125</f>
        <v>485.78249581330283</v>
      </c>
      <c r="E127" s="547"/>
      <c r="F127" s="547"/>
      <c r="G127" s="553">
        <f t="shared" ref="G127:H127" si="35">G117/G125</f>
        <v>455.27533351410477</v>
      </c>
      <c r="H127" s="553">
        <f t="shared" si="35"/>
        <v>455.27533351410477</v>
      </c>
      <c r="I127" s="553">
        <f t="shared" ref="I127:O127" si="36">I117/I125</f>
        <v>0</v>
      </c>
      <c r="J127" s="553">
        <f t="shared" si="36"/>
        <v>0</v>
      </c>
      <c r="K127" s="553">
        <f t="shared" si="36"/>
        <v>0</v>
      </c>
      <c r="L127" s="553">
        <f t="shared" si="36"/>
        <v>0</v>
      </c>
      <c r="M127" s="553">
        <f t="shared" si="36"/>
        <v>0</v>
      </c>
      <c r="N127" s="553">
        <f t="shared" si="36"/>
        <v>0</v>
      </c>
      <c r="O127" s="553">
        <f t="shared" si="36"/>
        <v>0</v>
      </c>
    </row>
    <row r="128" spans="1:15" ht="15" x14ac:dyDescent="0.25">
      <c r="C128" s="440" t="s">
        <v>860</v>
      </c>
      <c r="D128" s="554"/>
      <c r="E128" s="548"/>
      <c r="F128" s="548"/>
      <c r="G128" s="554"/>
      <c r="H128" s="554"/>
      <c r="I128" s="554"/>
      <c r="J128" s="554"/>
      <c r="K128" s="554"/>
      <c r="L128" s="554"/>
      <c r="M128" s="554"/>
      <c r="N128" s="554"/>
      <c r="O128" s="554"/>
    </row>
    <row r="129" spans="1:15" ht="15" x14ac:dyDescent="0.25">
      <c r="C129" s="440" t="s">
        <v>944</v>
      </c>
      <c r="D129" s="554">
        <f>D127/$D$127</f>
        <v>1</v>
      </c>
      <c r="E129" s="547"/>
      <c r="F129" s="547"/>
      <c r="G129" s="554">
        <f>G127/$D$127</f>
        <v>0.9371999556136279</v>
      </c>
      <c r="H129" s="554">
        <f>H127/$D$127</f>
        <v>0.9371999556136279</v>
      </c>
      <c r="I129" s="554">
        <f t="shared" ref="I129:O129" si="37">I127/$D$127</f>
        <v>0</v>
      </c>
      <c r="J129" s="554">
        <f t="shared" si="37"/>
        <v>0</v>
      </c>
      <c r="K129" s="554">
        <f t="shared" si="37"/>
        <v>0</v>
      </c>
      <c r="L129" s="554">
        <f t="shared" si="37"/>
        <v>0</v>
      </c>
      <c r="M129" s="554">
        <f t="shared" si="37"/>
        <v>0</v>
      </c>
      <c r="N129" s="554">
        <f t="shared" si="37"/>
        <v>0</v>
      </c>
      <c r="O129" s="554">
        <f t="shared" si="37"/>
        <v>0</v>
      </c>
    </row>
    <row r="130" spans="1:15" ht="15" x14ac:dyDescent="0.25">
      <c r="C130" s="567" t="s">
        <v>854</v>
      </c>
      <c r="D130" s="569">
        <f>D9+D99</f>
        <v>37503.900001177164</v>
      </c>
      <c r="E130" s="568"/>
      <c r="F130" s="568"/>
      <c r="G130" s="569">
        <f t="shared" ref="G130:H130" si="38">G9+G99</f>
        <v>37821.618312729479</v>
      </c>
      <c r="H130" s="569">
        <f t="shared" si="38"/>
        <v>37970.898749562461</v>
      </c>
      <c r="I130" s="569">
        <f t="shared" ref="I130:O130" si="39">I9+I99</f>
        <v>2056.488821227028</v>
      </c>
      <c r="J130" s="569">
        <f t="shared" si="39"/>
        <v>2322.4635376677056</v>
      </c>
      <c r="K130" s="569">
        <f t="shared" si="39"/>
        <v>2327.9644813723062</v>
      </c>
      <c r="L130" s="569">
        <f t="shared" si="39"/>
        <v>2365.3600624861078</v>
      </c>
      <c r="M130" s="569">
        <f t="shared" si="39"/>
        <v>2374.2109140962193</v>
      </c>
      <c r="N130" s="569">
        <f t="shared" si="39"/>
        <v>2851.1654987328479</v>
      </c>
      <c r="O130" s="569">
        <f t="shared" si="39"/>
        <v>1495.0441081517351</v>
      </c>
    </row>
    <row r="131" spans="1:15" ht="15" x14ac:dyDescent="0.25">
      <c r="C131" s="570" t="s">
        <v>861</v>
      </c>
      <c r="D131" s="572">
        <f>D130*0.07-D113</f>
        <v>2419.9880602307612</v>
      </c>
      <c r="E131" s="571"/>
      <c r="F131" s="571"/>
      <c r="G131" s="572">
        <f>G130*0.07-G113</f>
        <v>2647.5132818910638</v>
      </c>
      <c r="H131" s="572">
        <f>H130*0.07-H11</f>
        <v>2657.9629124693724</v>
      </c>
      <c r="I131" s="572">
        <f t="shared" ref="I131:O131" si="40">I130*0.07-I11</f>
        <v>143.95421748589197</v>
      </c>
      <c r="J131" s="572">
        <f t="shared" si="40"/>
        <v>162.57244763673941</v>
      </c>
      <c r="K131" s="572">
        <f t="shared" si="40"/>
        <v>162.95751369606145</v>
      </c>
      <c r="L131" s="572">
        <f t="shared" si="40"/>
        <v>165.57520437402758</v>
      </c>
      <c r="M131" s="572">
        <f t="shared" si="40"/>
        <v>166.19476398673538</v>
      </c>
      <c r="N131" s="572">
        <f t="shared" si="40"/>
        <v>199.58158491129939</v>
      </c>
      <c r="O131" s="572">
        <f t="shared" si="40"/>
        <v>104.65308757062147</v>
      </c>
    </row>
    <row r="132" spans="1:15" s="537" customFormat="1" ht="27.75" customHeight="1" x14ac:dyDescent="0.25">
      <c r="A132" s="561"/>
      <c r="C132" s="1201" t="s">
        <v>953</v>
      </c>
      <c r="D132" s="1201"/>
      <c r="E132" s="1201"/>
      <c r="F132" s="1201"/>
      <c r="G132" s="1201"/>
      <c r="H132" s="1201"/>
    </row>
    <row r="133" spans="1:15" ht="15" x14ac:dyDescent="0.25">
      <c r="C133" s="573"/>
      <c r="D133" s="553"/>
      <c r="E133" s="549"/>
      <c r="F133" s="549"/>
      <c r="G133" s="553"/>
      <c r="H133" s="553"/>
    </row>
    <row r="134" spans="1:15" ht="15" x14ac:dyDescent="0.25">
      <c r="A134" s="582"/>
      <c r="C134" s="553"/>
      <c r="D134" s="553"/>
      <c r="E134" s="533"/>
      <c r="F134" s="533"/>
      <c r="G134" s="553"/>
      <c r="H134" s="553"/>
    </row>
    <row r="135" spans="1:15" ht="15" x14ac:dyDescent="0.25">
      <c r="B135" s="690"/>
      <c r="C135" s="691" t="s">
        <v>1011</v>
      </c>
      <c r="D135" s="693" t="e">
        <f>D131+Финплан!#REF!*1000</f>
        <v>#REF!</v>
      </c>
      <c r="E135" s="692"/>
      <c r="F135" s="692"/>
      <c r="G135" s="693">
        <f>G131+'Расчет амортизации'!H12/1000</f>
        <v>4005.86623986933</v>
      </c>
      <c r="H135" s="693">
        <f>H131+'Расчет амортизации'!I12/1000</f>
        <v>4714.4517336964</v>
      </c>
      <c r="I135" s="436" t="s">
        <v>289</v>
      </c>
    </row>
  </sheetData>
  <mergeCells count="7">
    <mergeCell ref="C132:H132"/>
    <mergeCell ref="B4:F4"/>
    <mergeCell ref="B6:B7"/>
    <mergeCell ref="C6:C7"/>
    <mergeCell ref="D7:F7"/>
    <mergeCell ref="B5:C5"/>
    <mergeCell ref="G6:O6"/>
  </mergeCells>
  <pageMargins left="0.70866141732283472" right="0.23622047244094491" top="0.27559055118110237" bottom="0.27559055118110237" header="0.23622047244094491" footer="0.23622047244094491"/>
  <pageSetup paperSize="9" scale="63" fitToHeight="4" orientation="portrait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view="pageBreakPreview" zoomScale="70" zoomScaleNormal="70" zoomScaleSheetLayoutView="70" workbookViewId="0">
      <selection activeCell="B27" sqref="B27"/>
    </sheetView>
  </sheetViews>
  <sheetFormatPr defaultColWidth="9" defaultRowHeight="15.75" outlineLevelRow="1" outlineLevelCol="1" x14ac:dyDescent="0.25"/>
  <cols>
    <col min="1" max="1" width="6" style="17" customWidth="1"/>
    <col min="2" max="2" width="16.75" style="17" customWidth="1"/>
    <col min="3" max="3" width="9.375" style="526" customWidth="1"/>
    <col min="4" max="4" width="5" style="17" customWidth="1" outlineLevel="1"/>
    <col min="5" max="5" width="9.5" style="17" customWidth="1" outlineLevel="1"/>
    <col min="6" max="6" width="5.5" style="17" customWidth="1" outlineLevel="1"/>
    <col min="7" max="7" width="8.25" style="17" customWidth="1" outlineLevel="1"/>
    <col min="8" max="8" width="11.25" style="17" customWidth="1"/>
    <col min="9" max="9" width="11" style="17" customWidth="1"/>
    <col min="10" max="10" width="7.125" style="17" customWidth="1"/>
    <col min="11" max="11" width="13.5" style="17" customWidth="1"/>
    <col min="12" max="12" width="10.5" style="17" customWidth="1"/>
    <col min="13" max="13" width="7.625" style="17" customWidth="1"/>
    <col min="14" max="14" width="13.5" style="17" customWidth="1"/>
    <col min="15" max="15" width="11.625" style="17" customWidth="1"/>
    <col min="16" max="16" width="7.25" style="17" customWidth="1"/>
    <col min="17" max="17" width="13.25" style="17" customWidth="1"/>
    <col min="18" max="18" width="9.75" style="17" customWidth="1"/>
    <col min="19" max="19" width="6.875" style="17" customWidth="1"/>
    <col min="20" max="20" width="12.125" style="17" customWidth="1"/>
    <col min="21" max="21" width="11.25" style="17" customWidth="1"/>
    <col min="22" max="22" width="7.5" style="17" customWidth="1"/>
    <col min="23" max="23" width="10.375" style="17" customWidth="1"/>
    <col min="24" max="24" width="11.5" style="17" customWidth="1"/>
    <col min="25" max="25" width="7.25" style="17" customWidth="1"/>
    <col min="26" max="26" width="11.375" style="17" customWidth="1"/>
    <col min="27" max="27" width="11.625" style="17" customWidth="1"/>
    <col min="28" max="28" width="6.875" style="17" customWidth="1"/>
    <col min="29" max="30" width="11.25" style="17" customWidth="1"/>
    <col min="31" max="31" width="7" style="17" customWidth="1"/>
    <col min="32" max="32" width="11.25" style="17" customWidth="1"/>
    <col min="33" max="33" width="11.5" style="17" customWidth="1"/>
    <col min="34" max="34" width="6.5" style="17" customWidth="1"/>
    <col min="35" max="35" width="12.375" style="17" customWidth="1"/>
    <col min="36" max="16384" width="9" style="17"/>
  </cols>
  <sheetData>
    <row r="1" spans="1:35" ht="21" customHeight="1" outlineLevel="1" x14ac:dyDescent="0.3">
      <c r="I1" s="680"/>
      <c r="J1" s="680"/>
      <c r="K1" s="680"/>
      <c r="L1" s="680"/>
      <c r="M1" s="680"/>
      <c r="N1" s="680"/>
      <c r="O1" s="680"/>
      <c r="P1" s="680"/>
      <c r="T1" s="681"/>
    </row>
    <row r="2" spans="1:35" ht="21" hidden="1" customHeight="1" outlineLevel="1" x14ac:dyDescent="0.3">
      <c r="I2" s="576"/>
      <c r="J2" s="576"/>
      <c r="K2" s="576"/>
      <c r="L2" s="576"/>
      <c r="M2" s="576"/>
      <c r="N2" s="576"/>
      <c r="O2" s="576"/>
      <c r="P2" s="576"/>
      <c r="T2" s="681" t="s">
        <v>92</v>
      </c>
    </row>
    <row r="3" spans="1:35" ht="21" hidden="1" customHeight="1" outlineLevel="1" x14ac:dyDescent="0.3">
      <c r="I3" s="680"/>
      <c r="J3" s="680"/>
      <c r="K3" s="680"/>
      <c r="L3" s="680"/>
      <c r="M3" s="680"/>
      <c r="N3" s="680"/>
      <c r="O3" s="680"/>
      <c r="P3" s="680"/>
      <c r="T3" s="681" t="s">
        <v>988</v>
      </c>
    </row>
    <row r="4" spans="1:35" ht="21" hidden="1" customHeight="1" outlineLevel="1" x14ac:dyDescent="0.3">
      <c r="I4" s="682"/>
      <c r="T4" s="683"/>
    </row>
    <row r="5" spans="1:35" ht="21" hidden="1" customHeight="1" outlineLevel="1" x14ac:dyDescent="0.3">
      <c r="I5" s="494"/>
      <c r="J5" s="494"/>
      <c r="L5" s="494"/>
      <c r="M5" s="494"/>
      <c r="T5" s="681"/>
    </row>
    <row r="6" spans="1:35" ht="21" hidden="1" customHeight="1" outlineLevel="1" x14ac:dyDescent="0.3">
      <c r="I6" s="494"/>
      <c r="J6" s="494"/>
      <c r="L6" s="494"/>
      <c r="M6" s="494"/>
      <c r="Q6" s="681"/>
      <c r="T6" s="681" t="s">
        <v>987</v>
      </c>
    </row>
    <row r="7" spans="1:35" ht="21" customHeight="1" outlineLevel="1" x14ac:dyDescent="0.3">
      <c r="I7" s="494"/>
      <c r="J7" s="494"/>
      <c r="L7" s="494"/>
      <c r="M7" s="494"/>
      <c r="Q7" s="681"/>
      <c r="T7" s="681" t="s">
        <v>92</v>
      </c>
    </row>
    <row r="8" spans="1:35" ht="21" customHeight="1" outlineLevel="1" x14ac:dyDescent="0.3">
      <c r="I8" s="494"/>
      <c r="J8" s="494"/>
      <c r="L8" s="494"/>
      <c r="M8" s="494"/>
      <c r="Q8" s="681"/>
      <c r="T8" s="681" t="s">
        <v>986</v>
      </c>
    </row>
    <row r="9" spans="1:35" ht="12.6" customHeight="1" outlineLevel="1" x14ac:dyDescent="0.3">
      <c r="I9" s="494"/>
      <c r="J9" s="494"/>
      <c r="L9" s="494"/>
      <c r="M9" s="494"/>
      <c r="Q9" s="681"/>
      <c r="T9" s="683"/>
    </row>
    <row r="10" spans="1:35" ht="21" customHeight="1" outlineLevel="1" x14ac:dyDescent="0.3">
      <c r="I10" s="494"/>
      <c r="J10" s="494"/>
      <c r="L10" s="494"/>
      <c r="M10" s="494"/>
      <c r="Q10" s="681"/>
      <c r="T10" s="681" t="s">
        <v>879</v>
      </c>
    </row>
    <row r="11" spans="1:35" ht="21" customHeight="1" outlineLevel="1" x14ac:dyDescent="0.3">
      <c r="I11" s="494"/>
      <c r="J11" s="494"/>
      <c r="L11" s="494"/>
      <c r="M11" s="494"/>
      <c r="Q11" s="681"/>
      <c r="T11" s="681" t="s">
        <v>1151</v>
      </c>
    </row>
    <row r="12" spans="1:35" ht="10.9" customHeight="1" outlineLevel="1" x14ac:dyDescent="0.3">
      <c r="I12" s="494"/>
      <c r="J12" s="494"/>
      <c r="L12" s="494"/>
      <c r="M12" s="494"/>
      <c r="Q12" s="681"/>
      <c r="T12" s="681"/>
    </row>
    <row r="13" spans="1:35" ht="25.5" x14ac:dyDescent="0.35">
      <c r="A13" s="853"/>
      <c r="B13" s="853"/>
      <c r="C13" s="1213" t="s">
        <v>404</v>
      </c>
      <c r="D13" s="1213"/>
      <c r="E13" s="1213"/>
      <c r="F13" s="1213"/>
      <c r="G13" s="1213"/>
      <c r="H13" s="1213"/>
      <c r="I13" s="1213"/>
      <c r="J13" s="1213"/>
      <c r="K13" s="1213"/>
      <c r="L13" s="1213"/>
      <c r="M13" s="1213"/>
      <c r="N13" s="1213"/>
      <c r="O13" s="1213"/>
      <c r="P13" s="1213"/>
      <c r="Q13" s="1213"/>
      <c r="R13" s="1213"/>
      <c r="S13" s="1213"/>
      <c r="T13" s="1213"/>
      <c r="U13" s="853"/>
      <c r="V13" s="853"/>
      <c r="W13" s="853"/>
      <c r="X13" s="853"/>
      <c r="Y13" s="853"/>
      <c r="Z13" s="853"/>
      <c r="AA13" s="853"/>
      <c r="AB13" s="853"/>
      <c r="AC13" s="853"/>
      <c r="AD13" s="853"/>
      <c r="AE13" s="853"/>
      <c r="AF13" s="853"/>
      <c r="AG13" s="853"/>
      <c r="AH13" s="853"/>
      <c r="AI13" s="853"/>
    </row>
    <row r="14" spans="1:35" ht="20.25" x14ac:dyDescent="0.3">
      <c r="A14" s="680"/>
      <c r="B14" s="680"/>
      <c r="C14" s="1214" t="s">
        <v>1152</v>
      </c>
      <c r="D14" s="1214"/>
      <c r="E14" s="1214"/>
      <c r="F14" s="1214"/>
      <c r="G14" s="1214"/>
      <c r="H14" s="1214"/>
      <c r="I14" s="1214"/>
      <c r="J14" s="1214"/>
      <c r="K14" s="1214"/>
      <c r="L14" s="1214"/>
      <c r="M14" s="1214"/>
      <c r="N14" s="1214"/>
      <c r="O14" s="1214"/>
      <c r="P14" s="1214"/>
      <c r="Q14" s="1214"/>
      <c r="R14" s="1214"/>
      <c r="S14" s="1214"/>
      <c r="T14" s="1214"/>
      <c r="U14" s="680"/>
      <c r="V14" s="680"/>
      <c r="W14" s="680"/>
      <c r="X14" s="680"/>
      <c r="Y14" s="680"/>
      <c r="Z14" s="680"/>
      <c r="AA14" s="680"/>
      <c r="AB14" s="680"/>
      <c r="AC14" s="680"/>
      <c r="AD14" s="680"/>
      <c r="AE14" s="680"/>
      <c r="AF14" s="680"/>
      <c r="AG14" s="680"/>
      <c r="AH14" s="680"/>
      <c r="AI14" s="680"/>
    </row>
    <row r="15" spans="1:35" x14ac:dyDescent="0.25">
      <c r="A15" s="684" t="s">
        <v>849</v>
      </c>
    </row>
    <row r="16" spans="1:35" x14ac:dyDescent="0.25">
      <c r="A16" s="1080" t="s">
        <v>431</v>
      </c>
      <c r="B16" s="1080" t="s">
        <v>454</v>
      </c>
      <c r="C16" s="1084" t="s">
        <v>405</v>
      </c>
      <c r="D16" s="1080" t="s">
        <v>406</v>
      </c>
      <c r="E16" s="1080"/>
      <c r="F16" s="1080"/>
      <c r="G16" s="1080"/>
      <c r="H16" s="1080" t="s">
        <v>88</v>
      </c>
      <c r="I16" s="1085" t="s">
        <v>230</v>
      </c>
      <c r="J16" s="1085"/>
      <c r="K16" s="1085"/>
      <c r="L16" s="1085"/>
      <c r="M16" s="1085"/>
      <c r="N16" s="1085"/>
      <c r="O16" s="1085"/>
      <c r="P16" s="1085"/>
      <c r="Q16" s="1085"/>
      <c r="R16" s="1085"/>
      <c r="S16" s="1085"/>
      <c r="T16" s="1085"/>
      <c r="U16" s="1210" t="s">
        <v>1250</v>
      </c>
      <c r="V16" s="1211"/>
      <c r="W16" s="1211"/>
      <c r="X16" s="1211"/>
      <c r="Y16" s="1211"/>
      <c r="Z16" s="1211"/>
      <c r="AA16" s="1211"/>
      <c r="AB16" s="1211"/>
      <c r="AC16" s="1211"/>
      <c r="AD16" s="1211"/>
      <c r="AE16" s="1211"/>
      <c r="AF16" s="1211"/>
      <c r="AG16" s="1211"/>
      <c r="AH16" s="1211"/>
      <c r="AI16" s="1212"/>
    </row>
    <row r="17" spans="1:35" ht="15.6" customHeight="1" x14ac:dyDescent="0.25">
      <c r="A17" s="1080"/>
      <c r="B17" s="1080"/>
      <c r="C17" s="1084"/>
      <c r="D17" s="1215" t="s">
        <v>407</v>
      </c>
      <c r="E17" s="1080" t="s">
        <v>408</v>
      </c>
      <c r="F17" s="1215" t="s">
        <v>1134</v>
      </c>
      <c r="G17" s="1215" t="s">
        <v>229</v>
      </c>
      <c r="H17" s="1080"/>
      <c r="I17" s="1080" t="s">
        <v>857</v>
      </c>
      <c r="J17" s="1080"/>
      <c r="K17" s="1080"/>
      <c r="L17" s="1080" t="s">
        <v>992</v>
      </c>
      <c r="M17" s="1080"/>
      <c r="N17" s="1080"/>
      <c r="O17" s="1080" t="s">
        <v>993</v>
      </c>
      <c r="P17" s="1080"/>
      <c r="Q17" s="1080"/>
      <c r="R17" s="1080" t="s">
        <v>994</v>
      </c>
      <c r="S17" s="1080"/>
      <c r="T17" s="1080"/>
      <c r="U17" s="1080" t="s">
        <v>995</v>
      </c>
      <c r="V17" s="1080"/>
      <c r="W17" s="1080"/>
      <c r="X17" s="1080" t="s">
        <v>996</v>
      </c>
      <c r="Y17" s="1080"/>
      <c r="Z17" s="1080"/>
      <c r="AA17" s="1080" t="s">
        <v>997</v>
      </c>
      <c r="AB17" s="1080"/>
      <c r="AC17" s="1080"/>
      <c r="AD17" s="1080" t="s">
        <v>998</v>
      </c>
      <c r="AE17" s="1080"/>
      <c r="AF17" s="1080"/>
      <c r="AG17" s="1080" t="s">
        <v>1133</v>
      </c>
      <c r="AH17" s="1080"/>
      <c r="AI17" s="1080"/>
    </row>
    <row r="18" spans="1:35" ht="73.150000000000006" customHeight="1" x14ac:dyDescent="0.25">
      <c r="A18" s="1080"/>
      <c r="B18" s="1080"/>
      <c r="C18" s="1084"/>
      <c r="D18" s="1216"/>
      <c r="E18" s="1080"/>
      <c r="F18" s="1216"/>
      <c r="G18" s="1216"/>
      <c r="H18" s="1080"/>
      <c r="I18" s="704" t="s">
        <v>227</v>
      </c>
      <c r="J18" s="872" t="s">
        <v>231</v>
      </c>
      <c r="K18" s="704" t="s">
        <v>228</v>
      </c>
      <c r="L18" s="704" t="s">
        <v>227</v>
      </c>
      <c r="M18" s="872" t="s">
        <v>231</v>
      </c>
      <c r="N18" s="704" t="s">
        <v>228</v>
      </c>
      <c r="O18" s="704" t="s">
        <v>227</v>
      </c>
      <c r="P18" s="872" t="s">
        <v>231</v>
      </c>
      <c r="Q18" s="704" t="s">
        <v>228</v>
      </c>
      <c r="R18" s="704" t="s">
        <v>227</v>
      </c>
      <c r="S18" s="872" t="s">
        <v>231</v>
      </c>
      <c r="T18" s="704" t="s">
        <v>228</v>
      </c>
      <c r="U18" s="704" t="s">
        <v>227</v>
      </c>
      <c r="V18" s="872" t="s">
        <v>231</v>
      </c>
      <c r="W18" s="704" t="s">
        <v>228</v>
      </c>
      <c r="X18" s="704" t="s">
        <v>227</v>
      </c>
      <c r="Y18" s="872" t="s">
        <v>231</v>
      </c>
      <c r="Z18" s="704" t="s">
        <v>228</v>
      </c>
      <c r="AA18" s="704" t="s">
        <v>227</v>
      </c>
      <c r="AB18" s="872" t="s">
        <v>231</v>
      </c>
      <c r="AC18" s="704" t="s">
        <v>228</v>
      </c>
      <c r="AD18" s="704" t="s">
        <v>227</v>
      </c>
      <c r="AE18" s="872" t="s">
        <v>231</v>
      </c>
      <c r="AF18" s="704" t="s">
        <v>228</v>
      </c>
      <c r="AG18" s="704" t="s">
        <v>227</v>
      </c>
      <c r="AH18" s="872" t="s">
        <v>231</v>
      </c>
      <c r="AI18" s="704" t="s">
        <v>228</v>
      </c>
    </row>
    <row r="19" spans="1:35" x14ac:dyDescent="0.25">
      <c r="A19" s="1080"/>
      <c r="B19" s="1080"/>
      <c r="C19" s="1084"/>
      <c r="D19" s="1217"/>
      <c r="E19" s="1080"/>
      <c r="F19" s="1217"/>
      <c r="G19" s="1217"/>
      <c r="H19" s="756" t="s">
        <v>1148</v>
      </c>
      <c r="I19" s="756" t="s">
        <v>1148</v>
      </c>
      <c r="J19" s="704"/>
      <c r="K19" s="756" t="s">
        <v>1148</v>
      </c>
      <c r="L19" s="756" t="s">
        <v>1148</v>
      </c>
      <c r="M19" s="704"/>
      <c r="N19" s="756" t="s">
        <v>1148</v>
      </c>
      <c r="O19" s="756" t="s">
        <v>1148</v>
      </c>
      <c r="P19" s="704"/>
      <c r="Q19" s="756" t="s">
        <v>1148</v>
      </c>
      <c r="R19" s="756" t="s">
        <v>1148</v>
      </c>
      <c r="S19" s="704"/>
      <c r="T19" s="756" t="s">
        <v>1148</v>
      </c>
      <c r="U19" s="756" t="s">
        <v>1148</v>
      </c>
      <c r="V19" s="704"/>
      <c r="W19" s="756" t="s">
        <v>1148</v>
      </c>
      <c r="X19" s="756" t="s">
        <v>1148</v>
      </c>
      <c r="Y19" s="704"/>
      <c r="Z19" s="756" t="s">
        <v>1148</v>
      </c>
      <c r="AA19" s="756" t="s">
        <v>1148</v>
      </c>
      <c r="AB19" s="704"/>
      <c r="AC19" s="756" t="s">
        <v>1148</v>
      </c>
      <c r="AD19" s="756" t="s">
        <v>1148</v>
      </c>
      <c r="AE19" s="704"/>
      <c r="AF19" s="756" t="s">
        <v>1148</v>
      </c>
      <c r="AG19" s="756" t="s">
        <v>1148</v>
      </c>
      <c r="AH19" s="704"/>
      <c r="AI19" s="756" t="s">
        <v>1148</v>
      </c>
    </row>
    <row r="20" spans="1:35" x14ac:dyDescent="0.25">
      <c r="A20" s="514"/>
      <c r="B20" s="776" t="s">
        <v>989</v>
      </c>
      <c r="C20" s="524"/>
      <c r="D20" s="514"/>
      <c r="E20" s="514"/>
      <c r="F20" s="512"/>
      <c r="G20" s="525"/>
      <c r="H20" s="515">
        <f>SUM(H21:H27)</f>
        <v>18798.347374577432</v>
      </c>
      <c r="I20" s="515">
        <f>SUM(I21:I27)</f>
        <v>1706.0677966101696</v>
      </c>
      <c r="J20" s="513"/>
      <c r="K20" s="515">
        <f t="shared" ref="K20:L20" si="0">SUM(K21:K27)</f>
        <v>60.930992736077485</v>
      </c>
      <c r="L20" s="515">
        <f t="shared" si="0"/>
        <v>4749.8727983062463</v>
      </c>
      <c r="M20" s="513"/>
      <c r="N20" s="515">
        <f t="shared" ref="N20:O20" si="1">SUM(N21:N27)</f>
        <v>446.62523797826628</v>
      </c>
      <c r="O20" s="515">
        <f t="shared" si="1"/>
        <v>10115.796527119805</v>
      </c>
      <c r="P20" s="513"/>
      <c r="Q20" s="515">
        <f t="shared" ref="Q20:R20" si="2">SUM(Q21:Q27)</f>
        <v>1144.7611012270279</v>
      </c>
      <c r="R20" s="515">
        <f t="shared" si="2"/>
        <v>10115.796527119805</v>
      </c>
      <c r="S20" s="513"/>
      <c r="T20" s="515">
        <f t="shared" ref="T20:U20" si="3">SUM(T21:T27)</f>
        <v>1413.0572876677059</v>
      </c>
      <c r="U20" s="515">
        <f t="shared" si="3"/>
        <v>14014.593137289297</v>
      </c>
      <c r="V20" s="513"/>
      <c r="W20" s="515">
        <f t="shared" ref="W20:X20" si="4">SUM(W21:W27)</f>
        <v>1425.5224813723064</v>
      </c>
      <c r="X20" s="515">
        <f t="shared" si="4"/>
        <v>14014.593137289297</v>
      </c>
      <c r="Y20" s="513"/>
      <c r="Z20" s="515">
        <f t="shared" ref="Z20:AA20" si="5">SUM(Z21:Z27)</f>
        <v>1462.9180624861078</v>
      </c>
      <c r="AA20" s="515">
        <f t="shared" si="5"/>
        <v>16393.881272882518</v>
      </c>
      <c r="AB20" s="513"/>
      <c r="AC20" s="515">
        <f t="shared" ref="AC20:AD20" si="6">SUM(AC21:AC27)</f>
        <v>1471.7689140962191</v>
      </c>
      <c r="AD20" s="515">
        <f t="shared" si="6"/>
        <v>18798.347374577432</v>
      </c>
      <c r="AE20" s="513"/>
      <c r="AF20" s="515">
        <f t="shared" ref="AF20:AG20" si="7">SUM(AF21:AF27)</f>
        <v>1497.5021287328489</v>
      </c>
      <c r="AG20" s="515">
        <f t="shared" si="7"/>
        <v>18798.347374577432</v>
      </c>
      <c r="AH20" s="513"/>
      <c r="AI20" s="515">
        <f>SUM(AI21:AI27)</f>
        <v>1495.0441081517351</v>
      </c>
    </row>
    <row r="21" spans="1:35" ht="140.44999999999999" customHeight="1" x14ac:dyDescent="0.25">
      <c r="A21" s="756" t="s">
        <v>417</v>
      </c>
      <c r="B21" s="506" t="s">
        <v>1111</v>
      </c>
      <c r="C21" s="518" t="s">
        <v>1137</v>
      </c>
      <c r="D21" s="518" t="s">
        <v>694</v>
      </c>
      <c r="E21" s="518" t="s">
        <v>1143</v>
      </c>
      <c r="F21" s="704">
        <v>3</v>
      </c>
      <c r="G21" s="519">
        <f>100%/F21</f>
        <v>0.33333333333333331</v>
      </c>
      <c r="H21" s="515">
        <f>'2 ИП ТС'!AI29</f>
        <v>1521.3305084745764</v>
      </c>
      <c r="I21" s="520"/>
      <c r="J21" s="705"/>
      <c r="K21" s="515"/>
      <c r="L21" s="520">
        <f>$H21</f>
        <v>1521.3305084745764</v>
      </c>
      <c r="M21" s="757">
        <v>3</v>
      </c>
      <c r="N21" s="515">
        <f>L21*$G21/12*M21</f>
        <v>126.77754237288136</v>
      </c>
      <c r="O21" s="520">
        <f>$H21</f>
        <v>1521.3305084745764</v>
      </c>
      <c r="P21" s="757">
        <v>12</v>
      </c>
      <c r="Q21" s="515">
        <f>O21*$G21/12*P21</f>
        <v>507.11016949152543</v>
      </c>
      <c r="R21" s="520">
        <f>$H21</f>
        <v>1521.3305084745764</v>
      </c>
      <c r="S21" s="757">
        <v>12</v>
      </c>
      <c r="T21" s="515">
        <f>R21*$G21/12*S21</f>
        <v>507.11016949152543</v>
      </c>
      <c r="U21" s="520">
        <f>$H21</f>
        <v>1521.3305084745764</v>
      </c>
      <c r="V21" s="757">
        <v>9</v>
      </c>
      <c r="W21" s="515">
        <f>U21*$G21/12*V21</f>
        <v>380.33262711864404</v>
      </c>
      <c r="X21" s="520">
        <f>$H21</f>
        <v>1521.3305084745764</v>
      </c>
      <c r="Y21" s="757">
        <v>0</v>
      </c>
      <c r="Z21" s="515">
        <f>X21*$G21/12*Y21</f>
        <v>0</v>
      </c>
      <c r="AA21" s="520">
        <f t="shared" ref="AA21:AA26" si="8">$H21</f>
        <v>1521.3305084745764</v>
      </c>
      <c r="AB21" s="757">
        <v>0</v>
      </c>
      <c r="AC21" s="515">
        <f t="shared" ref="AC21:AC26" si="9">AA21*$G21/12*AB21</f>
        <v>0</v>
      </c>
      <c r="AD21" s="520">
        <f t="shared" ref="AD21:AD27" si="10">$H21</f>
        <v>1521.3305084745764</v>
      </c>
      <c r="AE21" s="757">
        <v>0</v>
      </c>
      <c r="AF21" s="515">
        <f t="shared" ref="AF21:AF27" si="11">AD21*$G21/12*AE21</f>
        <v>0</v>
      </c>
      <c r="AG21" s="520">
        <f t="shared" ref="AG21:AG27" si="12">$H21</f>
        <v>1521.3305084745764</v>
      </c>
      <c r="AH21" s="757">
        <v>0</v>
      </c>
      <c r="AI21" s="515">
        <f t="shared" ref="AI21:AI27" si="13">AG21*$G21/12*AH21</f>
        <v>0</v>
      </c>
    </row>
    <row r="22" spans="1:35" ht="102" x14ac:dyDescent="0.25">
      <c r="A22" s="756" t="s">
        <v>420</v>
      </c>
      <c r="B22" s="506" t="s">
        <v>1114</v>
      </c>
      <c r="C22" s="518" t="s">
        <v>1137</v>
      </c>
      <c r="D22" s="518" t="s">
        <v>695</v>
      </c>
      <c r="E22" s="518" t="s">
        <v>1144</v>
      </c>
      <c r="F22" s="704">
        <v>5</v>
      </c>
      <c r="G22" s="519">
        <f t="shared" ref="G22:G27" si="14">100%/F22</f>
        <v>0.2</v>
      </c>
      <c r="H22" s="515">
        <f>'2 ИП ТС'!AI30</f>
        <v>1522.4744932215001</v>
      </c>
      <c r="I22" s="520"/>
      <c r="J22" s="705"/>
      <c r="K22" s="515"/>
      <c r="L22" s="520">
        <f>$H22</f>
        <v>1522.4744932215001</v>
      </c>
      <c r="M22" s="757">
        <v>3</v>
      </c>
      <c r="N22" s="515">
        <f>L22*$G22/12*M22</f>
        <v>76.123724661075002</v>
      </c>
      <c r="O22" s="520">
        <f>$H22</f>
        <v>1522.4744932215001</v>
      </c>
      <c r="P22" s="757">
        <v>12</v>
      </c>
      <c r="Q22" s="515">
        <f>O22*$G22/12*P22</f>
        <v>304.49489864430001</v>
      </c>
      <c r="R22" s="520">
        <f>$H22</f>
        <v>1522.4744932215001</v>
      </c>
      <c r="S22" s="757">
        <v>12</v>
      </c>
      <c r="T22" s="515">
        <f>R22*$G22/12*S22</f>
        <v>304.49489864430001</v>
      </c>
      <c r="U22" s="520">
        <f>$H22</f>
        <v>1522.4744932215001</v>
      </c>
      <c r="V22" s="757">
        <v>12</v>
      </c>
      <c r="W22" s="515">
        <f>U22*$G22/12*V22</f>
        <v>304.49489864430001</v>
      </c>
      <c r="X22" s="520">
        <f>$H22</f>
        <v>1522.4744932215001</v>
      </c>
      <c r="Y22" s="757">
        <v>12</v>
      </c>
      <c r="Z22" s="515">
        <f>X22*$G22/12*Y22</f>
        <v>304.49489864430001</v>
      </c>
      <c r="AA22" s="520">
        <f t="shared" si="8"/>
        <v>1522.4744932215001</v>
      </c>
      <c r="AB22" s="757">
        <v>9</v>
      </c>
      <c r="AC22" s="515">
        <f t="shared" si="9"/>
        <v>228.37117398322502</v>
      </c>
      <c r="AD22" s="520">
        <f t="shared" si="10"/>
        <v>1522.4744932215001</v>
      </c>
      <c r="AE22" s="757">
        <v>0</v>
      </c>
      <c r="AF22" s="515">
        <f t="shared" si="11"/>
        <v>0</v>
      </c>
      <c r="AG22" s="520">
        <f t="shared" si="12"/>
        <v>1522.4744932215001</v>
      </c>
      <c r="AH22" s="757">
        <v>0</v>
      </c>
      <c r="AI22" s="515">
        <f t="shared" si="13"/>
        <v>0</v>
      </c>
    </row>
    <row r="23" spans="1:35" ht="62.45" customHeight="1" x14ac:dyDescent="0.25">
      <c r="A23" s="756" t="s">
        <v>482</v>
      </c>
      <c r="B23" s="506" t="s">
        <v>1115</v>
      </c>
      <c r="C23" s="518" t="s">
        <v>1138</v>
      </c>
      <c r="D23" s="518" t="s">
        <v>659</v>
      </c>
      <c r="E23" s="518" t="s">
        <v>1145</v>
      </c>
      <c r="F23" s="756">
        <v>7</v>
      </c>
      <c r="G23" s="519">
        <f t="shared" si="14"/>
        <v>0.14285714285714285</v>
      </c>
      <c r="H23" s="515">
        <f>'2 ИП ТС'!AI37</f>
        <v>1706.0677966101696</v>
      </c>
      <c r="I23" s="520">
        <f>$H23</f>
        <v>1706.0677966101696</v>
      </c>
      <c r="J23" s="757">
        <v>3</v>
      </c>
      <c r="K23" s="515">
        <f>I23*$G23/12*J23</f>
        <v>60.930992736077485</v>
      </c>
      <c r="L23" s="520">
        <f>$H23</f>
        <v>1706.0677966101696</v>
      </c>
      <c r="M23" s="757">
        <v>12</v>
      </c>
      <c r="N23" s="515">
        <f>L23*$G23/12*M23</f>
        <v>243.72397094430994</v>
      </c>
      <c r="O23" s="520">
        <f>$H23</f>
        <v>1706.0677966101696</v>
      </c>
      <c r="P23" s="757">
        <v>12</v>
      </c>
      <c r="Q23" s="515">
        <f>O23*$G23/12*P23</f>
        <v>243.72397094430994</v>
      </c>
      <c r="R23" s="520">
        <f>$H23</f>
        <v>1706.0677966101696</v>
      </c>
      <c r="S23" s="757">
        <v>12</v>
      </c>
      <c r="T23" s="515">
        <f>R23*$G23/12*S23</f>
        <v>243.72397094430994</v>
      </c>
      <c r="U23" s="520">
        <f>$H23</f>
        <v>1706.0677966101696</v>
      </c>
      <c r="V23" s="757">
        <v>12</v>
      </c>
      <c r="W23" s="515">
        <f>U23*$G23/12*V23</f>
        <v>243.72397094430994</v>
      </c>
      <c r="X23" s="520">
        <f>$H23</f>
        <v>1706.0677966101696</v>
      </c>
      <c r="Y23" s="757">
        <v>12</v>
      </c>
      <c r="Z23" s="515">
        <f>X23*$G23/12*Y23</f>
        <v>243.72397094430994</v>
      </c>
      <c r="AA23" s="520">
        <f t="shared" si="8"/>
        <v>1706.0677966101696</v>
      </c>
      <c r="AB23" s="757">
        <v>12</v>
      </c>
      <c r="AC23" s="515">
        <f t="shared" si="9"/>
        <v>243.72397094430994</v>
      </c>
      <c r="AD23" s="520">
        <f t="shared" si="10"/>
        <v>1706.0677966101696</v>
      </c>
      <c r="AE23" s="757">
        <v>9</v>
      </c>
      <c r="AF23" s="515">
        <f t="shared" si="11"/>
        <v>182.79297820823246</v>
      </c>
      <c r="AG23" s="520">
        <f t="shared" si="12"/>
        <v>1706.0677966101696</v>
      </c>
      <c r="AH23" s="757">
        <v>0</v>
      </c>
      <c r="AI23" s="515">
        <f t="shared" si="13"/>
        <v>0</v>
      </c>
    </row>
    <row r="24" spans="1:35" ht="25.5" x14ac:dyDescent="0.25">
      <c r="A24" s="756" t="s">
        <v>484</v>
      </c>
      <c r="B24" s="506" t="s">
        <v>1117</v>
      </c>
      <c r="C24" s="518" t="s">
        <v>1139</v>
      </c>
      <c r="D24" s="518" t="s">
        <v>659</v>
      </c>
      <c r="E24" s="518" t="s">
        <v>1145</v>
      </c>
      <c r="F24" s="756">
        <v>7</v>
      </c>
      <c r="G24" s="519">
        <f t="shared" si="14"/>
        <v>0.14285714285714285</v>
      </c>
      <c r="H24" s="515">
        <f>'2 ИП ТС'!AI38</f>
        <v>3898.7966101694915</v>
      </c>
      <c r="I24" s="520"/>
      <c r="J24" s="757"/>
      <c r="K24" s="515"/>
      <c r="L24" s="520"/>
      <c r="M24" s="513"/>
      <c r="N24" s="515"/>
      <c r="O24" s="520"/>
      <c r="P24" s="513"/>
      <c r="Q24" s="515"/>
      <c r="R24" s="520"/>
      <c r="S24" s="513"/>
      <c r="T24" s="515"/>
      <c r="U24" s="520">
        <f>$H24</f>
        <v>3898.7966101694915</v>
      </c>
      <c r="V24" s="757">
        <v>3</v>
      </c>
      <c r="W24" s="515">
        <f>U24*$G24/12*V24</f>
        <v>139.24273607748182</v>
      </c>
      <c r="X24" s="520">
        <f>$H24</f>
        <v>3898.7966101694915</v>
      </c>
      <c r="Y24" s="757">
        <v>12</v>
      </c>
      <c r="Z24" s="515">
        <f>X24*$G24/12*Y24</f>
        <v>556.97094430992729</v>
      </c>
      <c r="AA24" s="520">
        <f t="shared" si="8"/>
        <v>3898.7966101694915</v>
      </c>
      <c r="AB24" s="757">
        <v>12</v>
      </c>
      <c r="AC24" s="515">
        <f t="shared" si="9"/>
        <v>556.97094430992729</v>
      </c>
      <c r="AD24" s="520">
        <f t="shared" si="10"/>
        <v>3898.7966101694915</v>
      </c>
      <c r="AE24" s="757">
        <v>12</v>
      </c>
      <c r="AF24" s="515">
        <f t="shared" si="11"/>
        <v>556.97094430992729</v>
      </c>
      <c r="AG24" s="520">
        <f t="shared" si="12"/>
        <v>3898.7966101694915</v>
      </c>
      <c r="AH24" s="757">
        <v>12</v>
      </c>
      <c r="AI24" s="515">
        <f t="shared" si="13"/>
        <v>556.97094430992729</v>
      </c>
    </row>
    <row r="25" spans="1:35" ht="51" x14ac:dyDescent="0.25">
      <c r="A25" s="756" t="s">
        <v>492</v>
      </c>
      <c r="B25" s="506" t="s">
        <v>1120</v>
      </c>
      <c r="C25" s="518" t="s">
        <v>1140</v>
      </c>
      <c r="D25" s="518" t="s">
        <v>668</v>
      </c>
      <c r="E25" s="518" t="s">
        <v>1146</v>
      </c>
      <c r="F25" s="704">
        <v>15</v>
      </c>
      <c r="G25" s="519">
        <f t="shared" si="14"/>
        <v>6.6666666666666666E-2</v>
      </c>
      <c r="H25" s="515">
        <f>'2 ИП ТС'!AI39</f>
        <v>5365.9237288135591</v>
      </c>
      <c r="I25" s="520"/>
      <c r="J25" s="705"/>
      <c r="K25" s="515"/>
      <c r="L25" s="520"/>
      <c r="M25" s="513"/>
      <c r="N25" s="515"/>
      <c r="O25" s="520">
        <f>$H25</f>
        <v>5365.9237288135591</v>
      </c>
      <c r="P25" s="757">
        <v>3</v>
      </c>
      <c r="Q25" s="515">
        <f>O25*$G25/12*P25</f>
        <v>89.432062146892648</v>
      </c>
      <c r="R25" s="520">
        <f>$H25</f>
        <v>5365.9237288135591</v>
      </c>
      <c r="S25" s="757">
        <v>12</v>
      </c>
      <c r="T25" s="515">
        <f>R25*$G25/12*S25</f>
        <v>357.72824858757059</v>
      </c>
      <c r="U25" s="520">
        <f>$H25</f>
        <v>5365.9237288135591</v>
      </c>
      <c r="V25" s="757">
        <v>12</v>
      </c>
      <c r="W25" s="515">
        <f>U25*$G25/12*V25</f>
        <v>357.72824858757059</v>
      </c>
      <c r="X25" s="520">
        <f>$H25</f>
        <v>5365.9237288135591</v>
      </c>
      <c r="Y25" s="757">
        <v>12</v>
      </c>
      <c r="Z25" s="515">
        <f>X25*$G25/12*Y25</f>
        <v>357.72824858757059</v>
      </c>
      <c r="AA25" s="520">
        <f t="shared" si="8"/>
        <v>5365.9237288135591</v>
      </c>
      <c r="AB25" s="757">
        <v>12</v>
      </c>
      <c r="AC25" s="515">
        <f t="shared" si="9"/>
        <v>357.72824858757059</v>
      </c>
      <c r="AD25" s="520">
        <f t="shared" si="10"/>
        <v>5365.9237288135591</v>
      </c>
      <c r="AE25" s="757">
        <v>12</v>
      </c>
      <c r="AF25" s="515">
        <f t="shared" si="11"/>
        <v>357.72824858757059</v>
      </c>
      <c r="AG25" s="520">
        <f t="shared" si="12"/>
        <v>5365.9237288135591</v>
      </c>
      <c r="AH25" s="757">
        <v>12</v>
      </c>
      <c r="AI25" s="515">
        <f t="shared" si="13"/>
        <v>357.72824858757059</v>
      </c>
    </row>
    <row r="26" spans="1:35" ht="51" x14ac:dyDescent="0.25">
      <c r="A26" s="756" t="s">
        <v>1135</v>
      </c>
      <c r="B26" s="506" t="s">
        <v>1115</v>
      </c>
      <c r="C26" s="518" t="s">
        <v>1141</v>
      </c>
      <c r="D26" s="518" t="s">
        <v>659</v>
      </c>
      <c r="E26" s="518" t="s">
        <v>1145</v>
      </c>
      <c r="F26" s="756">
        <v>7</v>
      </c>
      <c r="G26" s="519">
        <f t="shared" si="14"/>
        <v>0.14285714285714285</v>
      </c>
      <c r="H26" s="515">
        <f>'2 ИП ТС'!AI40</f>
        <v>2379.2881355932204</v>
      </c>
      <c r="I26" s="520"/>
      <c r="J26" s="705"/>
      <c r="K26" s="515"/>
      <c r="L26" s="520"/>
      <c r="M26" s="513"/>
      <c r="N26" s="515"/>
      <c r="O26" s="520"/>
      <c r="P26" s="513"/>
      <c r="Q26" s="515"/>
      <c r="R26" s="520"/>
      <c r="S26" s="513"/>
      <c r="T26" s="515"/>
      <c r="U26" s="315"/>
      <c r="V26" s="315"/>
      <c r="W26" s="315"/>
      <c r="X26" s="315"/>
      <c r="Y26" s="315"/>
      <c r="Z26" s="315"/>
      <c r="AA26" s="520">
        <f t="shared" si="8"/>
        <v>2379.2881355932204</v>
      </c>
      <c r="AB26" s="757">
        <v>3</v>
      </c>
      <c r="AC26" s="515">
        <f t="shared" si="9"/>
        <v>84.974576271186436</v>
      </c>
      <c r="AD26" s="520">
        <f t="shared" si="10"/>
        <v>2379.2881355932204</v>
      </c>
      <c r="AE26" s="757">
        <v>12</v>
      </c>
      <c r="AF26" s="515">
        <f t="shared" si="11"/>
        <v>339.89830508474574</v>
      </c>
      <c r="AG26" s="520">
        <f t="shared" si="12"/>
        <v>2379.2881355932204</v>
      </c>
      <c r="AH26" s="757">
        <v>12</v>
      </c>
      <c r="AI26" s="515">
        <f t="shared" si="13"/>
        <v>339.89830508474574</v>
      </c>
    </row>
    <row r="27" spans="1:35" ht="63" x14ac:dyDescent="0.25">
      <c r="A27" s="758" t="s">
        <v>1136</v>
      </c>
      <c r="B27" s="685" t="s">
        <v>1121</v>
      </c>
      <c r="C27" s="518" t="s">
        <v>1142</v>
      </c>
      <c r="D27" s="518" t="s">
        <v>847</v>
      </c>
      <c r="E27" s="518" t="s">
        <v>1147</v>
      </c>
      <c r="F27" s="704">
        <v>10</v>
      </c>
      <c r="G27" s="519">
        <f t="shared" si="14"/>
        <v>0.1</v>
      </c>
      <c r="H27" s="515">
        <f>'2 ИП ТС'!AI41</f>
        <v>2404.4661016949153</v>
      </c>
      <c r="I27" s="706"/>
      <c r="J27" s="706"/>
      <c r="K27" s="706"/>
      <c r="L27" s="706"/>
      <c r="M27" s="706"/>
      <c r="N27" s="706"/>
      <c r="O27" s="706"/>
      <c r="P27" s="706"/>
      <c r="Q27" s="686"/>
      <c r="R27" s="315"/>
      <c r="S27" s="315"/>
      <c r="T27" s="315"/>
      <c r="U27" s="315"/>
      <c r="V27" s="315"/>
      <c r="W27" s="315"/>
      <c r="X27" s="520"/>
      <c r="Y27" s="513"/>
      <c r="Z27" s="515"/>
      <c r="AA27" s="520"/>
      <c r="AB27" s="513"/>
      <c r="AC27" s="515"/>
      <c r="AD27" s="520">
        <f t="shared" si="10"/>
        <v>2404.4661016949153</v>
      </c>
      <c r="AE27" s="757">
        <v>3</v>
      </c>
      <c r="AF27" s="515">
        <f t="shared" si="11"/>
        <v>60.111652542372894</v>
      </c>
      <c r="AG27" s="520">
        <f t="shared" si="12"/>
        <v>2404.4661016949153</v>
      </c>
      <c r="AH27" s="757">
        <v>12</v>
      </c>
      <c r="AI27" s="515">
        <f t="shared" si="13"/>
        <v>240.44661016949158</v>
      </c>
    </row>
    <row r="28" spans="1:35" x14ac:dyDescent="0.25">
      <c r="A28" s="707"/>
      <c r="B28" s="36"/>
      <c r="C28" s="527"/>
      <c r="D28" s="36"/>
      <c r="E28" s="36"/>
      <c r="F28" s="36"/>
      <c r="G28" s="36"/>
      <c r="H28" s="36"/>
      <c r="I28" s="87"/>
      <c r="J28" s="87"/>
      <c r="K28" s="87"/>
      <c r="L28" s="87"/>
      <c r="M28" s="87"/>
      <c r="N28" s="87"/>
      <c r="O28" s="87"/>
      <c r="P28" s="87"/>
      <c r="Q28" s="687"/>
    </row>
    <row r="30" spans="1:35" x14ac:dyDescent="0.25">
      <c r="B30" s="576"/>
      <c r="C30" s="688"/>
      <c r="D30" s="688"/>
      <c r="E30" s="688"/>
      <c r="F30" s="688"/>
      <c r="G30" s="688"/>
      <c r="H30" s="688"/>
      <c r="I30" s="688"/>
      <c r="J30" s="688"/>
      <c r="K30" s="688"/>
      <c r="V30" s="576" t="s">
        <v>635</v>
      </c>
      <c r="W30" s="688"/>
      <c r="X30" s="688"/>
      <c r="Y30" s="688"/>
      <c r="Z30" s="688"/>
      <c r="AA30" s="688"/>
      <c r="AB30" s="688"/>
      <c r="AC30" s="688"/>
      <c r="AD30" s="688"/>
      <c r="AE30" s="688"/>
      <c r="AF30" s="17" t="s">
        <v>955</v>
      </c>
    </row>
    <row r="33" spans="4:4" x14ac:dyDescent="0.25">
      <c r="D33" s="704"/>
    </row>
    <row r="34" spans="4:4" x14ac:dyDescent="0.25">
      <c r="D34" s="704"/>
    </row>
  </sheetData>
  <mergeCells count="22">
    <mergeCell ref="A16:A19"/>
    <mergeCell ref="B16:B19"/>
    <mergeCell ref="C16:C19"/>
    <mergeCell ref="D16:G16"/>
    <mergeCell ref="H16:H18"/>
    <mergeCell ref="D17:D19"/>
    <mergeCell ref="E17:E19"/>
    <mergeCell ref="F17:F19"/>
    <mergeCell ref="G17:G19"/>
    <mergeCell ref="U16:AI16"/>
    <mergeCell ref="C13:T13"/>
    <mergeCell ref="C14:T14"/>
    <mergeCell ref="AG17:AI17"/>
    <mergeCell ref="I16:T16"/>
    <mergeCell ref="I17:K17"/>
    <mergeCell ref="L17:N17"/>
    <mergeCell ref="O17:Q17"/>
    <mergeCell ref="R17:T17"/>
    <mergeCell ref="U17:W17"/>
    <mergeCell ref="X17:Z17"/>
    <mergeCell ref="AA17:AC17"/>
    <mergeCell ref="AD17:AF17"/>
  </mergeCells>
  <pageMargins left="0.19685039370078741" right="0.23622047244094491" top="0.27559055118110237" bottom="0.19685039370078741" header="0.19685039370078741" footer="0.19685039370078741"/>
  <pageSetup paperSize="9" scale="67" fitToWidth="2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14" workbookViewId="0">
      <selection activeCell="B47" sqref="B47"/>
    </sheetView>
  </sheetViews>
  <sheetFormatPr defaultColWidth="8" defaultRowHeight="12.75" x14ac:dyDescent="0.2"/>
  <cols>
    <col min="1" max="1" width="3.125" style="537" customWidth="1"/>
    <col min="2" max="2" width="23.25" style="537" customWidth="1"/>
    <col min="3" max="3" width="5.75" style="537" customWidth="1"/>
    <col min="4" max="4" width="5.875" style="537" customWidth="1"/>
    <col min="5" max="5" width="5.5" style="537" customWidth="1"/>
    <col min="6" max="6" width="4.875" style="537" customWidth="1"/>
    <col min="7" max="7" width="5.875" style="537" customWidth="1"/>
    <col min="8" max="8" width="6.25" style="537" customWidth="1"/>
    <col min="9" max="9" width="24" style="537" customWidth="1"/>
    <col min="10" max="16384" width="8" style="537"/>
  </cols>
  <sheetData>
    <row r="1" spans="1:9" s="594" customFormat="1" ht="12" x14ac:dyDescent="0.2"/>
    <row r="2" spans="1:9" s="596" customFormat="1" x14ac:dyDescent="0.2">
      <c r="A2" s="934" t="s">
        <v>1024</v>
      </c>
      <c r="B2" s="934"/>
      <c r="C2" s="934"/>
      <c r="D2" s="934"/>
      <c r="E2" s="934"/>
      <c r="F2" s="934"/>
      <c r="G2" s="934"/>
      <c r="H2" s="934"/>
      <c r="I2" s="934"/>
    </row>
    <row r="3" spans="1:9" s="596" customFormat="1" x14ac:dyDescent="0.2">
      <c r="A3" s="935" t="s">
        <v>881</v>
      </c>
      <c r="B3" s="935"/>
      <c r="C3" s="935"/>
      <c r="D3" s="935"/>
      <c r="E3" s="935"/>
      <c r="F3" s="935"/>
      <c r="G3" s="935"/>
      <c r="H3" s="935"/>
      <c r="I3" s="935"/>
    </row>
    <row r="4" spans="1:9" s="597" customFormat="1" ht="10.5" x14ac:dyDescent="0.2">
      <c r="A4" s="936" t="s">
        <v>1025</v>
      </c>
      <c r="B4" s="936"/>
      <c r="C4" s="936"/>
      <c r="D4" s="936"/>
      <c r="E4" s="936"/>
      <c r="F4" s="936"/>
      <c r="G4" s="936"/>
      <c r="H4" s="936"/>
      <c r="I4" s="936"/>
    </row>
    <row r="5" spans="1:9" x14ac:dyDescent="0.2">
      <c r="C5" s="596"/>
      <c r="D5" s="596"/>
      <c r="E5" s="596"/>
      <c r="F5" s="717" t="s">
        <v>1026</v>
      </c>
      <c r="G5" s="596">
        <v>2016</v>
      </c>
      <c r="H5" s="596" t="s">
        <v>1027</v>
      </c>
    </row>
    <row r="6" spans="1:9" ht="19.149999999999999" customHeight="1" x14ac:dyDescent="0.2">
      <c r="A6" s="709" t="s">
        <v>849</v>
      </c>
    </row>
    <row r="7" spans="1:9" s="598" customFormat="1" ht="25.15" customHeight="1" x14ac:dyDescent="0.2">
      <c r="A7" s="937" t="s">
        <v>702</v>
      </c>
      <c r="B7" s="937" t="s">
        <v>882</v>
      </c>
      <c r="C7" s="938" t="s">
        <v>886</v>
      </c>
      <c r="D7" s="938"/>
      <c r="E7" s="939" t="s">
        <v>887</v>
      </c>
      <c r="F7" s="939"/>
      <c r="G7" s="939" t="s">
        <v>1028</v>
      </c>
      <c r="H7" s="939"/>
      <c r="I7" s="940" t="s">
        <v>1029</v>
      </c>
    </row>
    <row r="8" spans="1:9" s="598" customFormat="1" ht="10.5" x14ac:dyDescent="0.2">
      <c r="A8" s="937"/>
      <c r="B8" s="937"/>
      <c r="C8" s="718" t="s">
        <v>439</v>
      </c>
      <c r="D8" s="718" t="s">
        <v>440</v>
      </c>
      <c r="E8" s="713" t="s">
        <v>439</v>
      </c>
      <c r="F8" s="713" t="s">
        <v>440</v>
      </c>
      <c r="G8" s="713" t="s">
        <v>439</v>
      </c>
      <c r="H8" s="718" t="s">
        <v>440</v>
      </c>
      <c r="I8" s="940"/>
    </row>
    <row r="9" spans="1:9" s="599" customFormat="1" ht="10.5" x14ac:dyDescent="0.2">
      <c r="A9" s="607">
        <v>1</v>
      </c>
      <c r="B9" s="607">
        <v>2</v>
      </c>
      <c r="C9" s="607">
        <v>3</v>
      </c>
      <c r="D9" s="607">
        <v>4</v>
      </c>
      <c r="E9" s="607">
        <v>5</v>
      </c>
      <c r="F9" s="607">
        <v>6</v>
      </c>
      <c r="G9" s="607">
        <v>7</v>
      </c>
      <c r="H9" s="607">
        <v>8</v>
      </c>
      <c r="I9" s="607">
        <v>9</v>
      </c>
    </row>
    <row r="10" spans="1:9" s="598" customFormat="1" ht="10.5" x14ac:dyDescent="0.2">
      <c r="A10" s="941" t="s">
        <v>913</v>
      </c>
      <c r="B10" s="941"/>
      <c r="C10" s="941"/>
      <c r="D10" s="941"/>
      <c r="E10" s="941"/>
      <c r="F10" s="941"/>
      <c r="G10" s="941"/>
      <c r="H10" s="941"/>
      <c r="I10" s="941"/>
    </row>
    <row r="11" spans="1:9" s="599" customFormat="1" ht="10.5" x14ac:dyDescent="0.2">
      <c r="A11" s="942" t="s">
        <v>914</v>
      </c>
      <c r="B11" s="942"/>
      <c r="C11" s="942"/>
      <c r="D11" s="942"/>
      <c r="E11" s="942"/>
      <c r="F11" s="942"/>
      <c r="G11" s="942"/>
      <c r="H11" s="942"/>
      <c r="I11" s="942"/>
    </row>
    <row r="12" spans="1:9" s="599" customFormat="1" ht="31.5" x14ac:dyDescent="0.2">
      <c r="A12" s="701" t="s">
        <v>313</v>
      </c>
      <c r="B12" s="661" t="s">
        <v>1030</v>
      </c>
      <c r="C12" s="663">
        <v>2016</v>
      </c>
      <c r="D12" s="663">
        <v>2016</v>
      </c>
      <c r="E12" s="663">
        <v>2017</v>
      </c>
      <c r="F12" s="663" t="s">
        <v>413</v>
      </c>
      <c r="G12" s="665">
        <v>3096.646957609873</v>
      </c>
      <c r="H12" s="665">
        <v>2520</v>
      </c>
      <c r="I12" s="661" t="s">
        <v>1031</v>
      </c>
    </row>
    <row r="13" spans="1:9" s="599" customFormat="1" ht="10.5" hidden="1" x14ac:dyDescent="0.2">
      <c r="A13" s="715" t="s">
        <v>314</v>
      </c>
      <c r="B13" s="604"/>
      <c r="C13" s="605"/>
      <c r="D13" s="605"/>
      <c r="E13" s="605"/>
      <c r="F13" s="605"/>
      <c r="G13" s="605"/>
      <c r="H13" s="605"/>
      <c r="I13" s="604"/>
    </row>
    <row r="14" spans="1:9" s="599" customFormat="1" ht="10.5" x14ac:dyDescent="0.2">
      <c r="A14" s="942" t="s">
        <v>915</v>
      </c>
      <c r="B14" s="942"/>
      <c r="C14" s="942"/>
      <c r="D14" s="942"/>
      <c r="E14" s="942"/>
      <c r="F14" s="942"/>
      <c r="G14" s="942"/>
      <c r="H14" s="942"/>
      <c r="I14" s="942"/>
    </row>
    <row r="15" spans="1:9" s="599" customFormat="1" ht="42" x14ac:dyDescent="0.2">
      <c r="A15" s="701" t="s">
        <v>691</v>
      </c>
      <c r="B15" s="661" t="s">
        <v>1032</v>
      </c>
      <c r="C15" s="663">
        <v>2016</v>
      </c>
      <c r="D15" s="663">
        <v>2016</v>
      </c>
      <c r="E15" s="663">
        <v>2017</v>
      </c>
      <c r="F15" s="663" t="s">
        <v>413</v>
      </c>
      <c r="G15" s="665">
        <v>9334.4394823734438</v>
      </c>
      <c r="H15" s="665">
        <v>1740.15</v>
      </c>
      <c r="I15" s="661" t="s">
        <v>1031</v>
      </c>
    </row>
    <row r="16" spans="1:9" s="599" customFormat="1" ht="31.5" x14ac:dyDescent="0.2">
      <c r="A16" s="701" t="s">
        <v>916</v>
      </c>
      <c r="B16" s="661" t="s">
        <v>1033</v>
      </c>
      <c r="C16" s="663">
        <v>2016</v>
      </c>
      <c r="D16" s="663">
        <v>2016</v>
      </c>
      <c r="E16" s="663">
        <v>2017</v>
      </c>
      <c r="F16" s="663" t="s">
        <v>413</v>
      </c>
      <c r="G16" s="665">
        <v>2068.9135598663283</v>
      </c>
      <c r="H16" s="665">
        <v>1848.1489999999999</v>
      </c>
      <c r="I16" s="661" t="s">
        <v>1031</v>
      </c>
    </row>
    <row r="17" spans="1:9" s="599" customFormat="1" ht="10.5" hidden="1" x14ac:dyDescent="0.2">
      <c r="A17" s="942" t="s">
        <v>917</v>
      </c>
      <c r="B17" s="942"/>
      <c r="C17" s="942"/>
      <c r="D17" s="942"/>
      <c r="E17" s="942"/>
      <c r="F17" s="942"/>
      <c r="G17" s="942"/>
      <c r="H17" s="942"/>
      <c r="I17" s="942"/>
    </row>
    <row r="18" spans="1:9" s="599" customFormat="1" ht="10.5" hidden="1" x14ac:dyDescent="0.2">
      <c r="A18" s="715" t="s">
        <v>692</v>
      </c>
      <c r="B18" s="604"/>
      <c r="C18" s="605"/>
      <c r="D18" s="605"/>
      <c r="E18" s="605"/>
      <c r="F18" s="605"/>
      <c r="G18" s="605"/>
      <c r="H18" s="605"/>
      <c r="I18" s="604"/>
    </row>
    <row r="19" spans="1:9" s="599" customFormat="1" ht="10.5" hidden="1" x14ac:dyDescent="0.2">
      <c r="A19" s="715" t="s">
        <v>693</v>
      </c>
      <c r="B19" s="604"/>
      <c r="C19" s="605"/>
      <c r="D19" s="605"/>
      <c r="E19" s="605"/>
      <c r="F19" s="605"/>
      <c r="G19" s="605"/>
      <c r="H19" s="605"/>
      <c r="I19" s="604"/>
    </row>
    <row r="20" spans="1:9" s="599" customFormat="1" ht="10.5" hidden="1" x14ac:dyDescent="0.2">
      <c r="A20" s="942" t="s">
        <v>918</v>
      </c>
      <c r="B20" s="942"/>
      <c r="C20" s="942"/>
      <c r="D20" s="942"/>
      <c r="E20" s="942"/>
      <c r="F20" s="942"/>
      <c r="G20" s="942"/>
      <c r="H20" s="942"/>
      <c r="I20" s="942"/>
    </row>
    <row r="21" spans="1:9" s="599" customFormat="1" ht="10.5" hidden="1" x14ac:dyDescent="0.2">
      <c r="A21" s="701"/>
      <c r="B21" s="661"/>
      <c r="C21" s="663"/>
      <c r="D21" s="663"/>
      <c r="E21" s="663"/>
      <c r="F21" s="663"/>
      <c r="G21" s="665"/>
      <c r="H21" s="665"/>
      <c r="I21" s="661"/>
    </row>
    <row r="22" spans="1:9" s="599" customFormat="1" ht="10.5" hidden="1" x14ac:dyDescent="0.2">
      <c r="A22" s="715"/>
      <c r="B22" s="604"/>
      <c r="C22" s="663"/>
      <c r="D22" s="663"/>
      <c r="E22" s="663"/>
      <c r="F22" s="663"/>
      <c r="G22" s="665"/>
      <c r="H22" s="665"/>
      <c r="I22" s="661"/>
    </row>
    <row r="23" spans="1:9" s="599" customFormat="1" ht="10.5" x14ac:dyDescent="0.2">
      <c r="A23" s="941" t="s">
        <v>919</v>
      </c>
      <c r="B23" s="941"/>
      <c r="C23" s="605"/>
      <c r="D23" s="605"/>
      <c r="E23" s="605"/>
      <c r="F23" s="605"/>
      <c r="G23" s="719">
        <f>G15+G16</f>
        <v>11403.353042239773</v>
      </c>
      <c r="H23" s="719">
        <f>H15+H16</f>
        <v>3588.299</v>
      </c>
      <c r="I23" s="604"/>
    </row>
    <row r="24" spans="1:9" s="598" customFormat="1" ht="10.5" hidden="1" x14ac:dyDescent="0.2">
      <c r="A24" s="941" t="s">
        <v>1034</v>
      </c>
      <c r="B24" s="941"/>
      <c r="C24" s="941"/>
      <c r="D24" s="941"/>
      <c r="E24" s="941"/>
      <c r="F24" s="941"/>
      <c r="G24" s="941"/>
      <c r="H24" s="941"/>
      <c r="I24" s="941"/>
    </row>
    <row r="25" spans="1:9" s="599" customFormat="1" ht="10.5" hidden="1" x14ac:dyDescent="0.2">
      <c r="A25" s="701"/>
      <c r="B25" s="661"/>
      <c r="C25" s="664"/>
      <c r="D25" s="664"/>
      <c r="E25" s="664"/>
      <c r="F25" s="663"/>
      <c r="G25" s="665"/>
      <c r="H25" s="665"/>
      <c r="I25" s="661"/>
    </row>
    <row r="26" spans="1:9" s="599" customFormat="1" ht="10.5" hidden="1" x14ac:dyDescent="0.2">
      <c r="A26" s="701"/>
      <c r="B26" s="661"/>
      <c r="C26" s="664"/>
      <c r="D26" s="664"/>
      <c r="E26" s="664"/>
      <c r="F26" s="664"/>
      <c r="G26" s="665"/>
      <c r="H26" s="665"/>
      <c r="I26" s="661"/>
    </row>
    <row r="27" spans="1:9" s="599" customFormat="1" ht="10.5" hidden="1" x14ac:dyDescent="0.2">
      <c r="A27" s="701"/>
      <c r="B27" s="661"/>
      <c r="C27" s="664"/>
      <c r="D27" s="664"/>
      <c r="E27" s="664"/>
      <c r="F27" s="664"/>
      <c r="G27" s="665"/>
      <c r="H27" s="665"/>
      <c r="I27" s="661"/>
    </row>
    <row r="28" spans="1:9" s="599" customFormat="1" ht="10.5" hidden="1" x14ac:dyDescent="0.2">
      <c r="A28" s="701"/>
      <c r="B28" s="661"/>
      <c r="C28" s="664"/>
      <c r="D28" s="664"/>
      <c r="E28" s="664"/>
      <c r="F28" s="663"/>
      <c r="G28" s="665"/>
      <c r="H28" s="665"/>
      <c r="I28" s="661"/>
    </row>
    <row r="29" spans="1:9" s="599" customFormat="1" ht="10.5" hidden="1" x14ac:dyDescent="0.2">
      <c r="A29" s="941" t="s">
        <v>922</v>
      </c>
      <c r="B29" s="941"/>
      <c r="C29" s="605"/>
      <c r="D29" s="605"/>
      <c r="E29" s="605"/>
      <c r="F29" s="605"/>
      <c r="G29" s="719">
        <f>SUM(G25:G28)</f>
        <v>0</v>
      </c>
      <c r="H29" s="719">
        <f>SUM(H25:H28)</f>
        <v>0</v>
      </c>
      <c r="I29" s="604"/>
    </row>
    <row r="30" spans="1:9" s="598" customFormat="1" ht="21" customHeight="1" x14ac:dyDescent="0.2">
      <c r="A30" s="943" t="s">
        <v>923</v>
      </c>
      <c r="B30" s="944"/>
      <c r="C30" s="944"/>
      <c r="D30" s="944"/>
      <c r="E30" s="944"/>
      <c r="F30" s="944"/>
      <c r="G30" s="944"/>
      <c r="H30" s="944"/>
      <c r="I30" s="945"/>
    </row>
    <row r="31" spans="1:9" s="599" customFormat="1" ht="10.5" x14ac:dyDescent="0.2">
      <c r="A31" s="942" t="s">
        <v>924</v>
      </c>
      <c r="B31" s="942"/>
      <c r="C31" s="942"/>
      <c r="D31" s="942"/>
      <c r="E31" s="942"/>
      <c r="F31" s="942"/>
      <c r="G31" s="942"/>
      <c r="H31" s="942"/>
      <c r="I31" s="942"/>
    </row>
    <row r="32" spans="1:9" s="667" customFormat="1" ht="31.5" x14ac:dyDescent="0.25">
      <c r="A32" s="701"/>
      <c r="B32" s="661" t="s">
        <v>647</v>
      </c>
      <c r="C32" s="663">
        <v>2016</v>
      </c>
      <c r="D32" s="663">
        <v>2016</v>
      </c>
      <c r="E32" s="663">
        <v>2017</v>
      </c>
      <c r="F32" s="663" t="s">
        <v>413</v>
      </c>
      <c r="G32" s="665">
        <v>17340</v>
      </c>
      <c r="H32" s="665">
        <v>19663.750059999998</v>
      </c>
      <c r="I32" s="661" t="s">
        <v>1035</v>
      </c>
    </row>
    <row r="33" spans="1:9" s="667" customFormat="1" ht="10.5" hidden="1" x14ac:dyDescent="0.25">
      <c r="A33" s="701"/>
      <c r="B33" s="661"/>
      <c r="C33" s="664"/>
      <c r="D33" s="664"/>
      <c r="E33" s="664"/>
      <c r="F33" s="664"/>
      <c r="G33" s="665"/>
      <c r="H33" s="665"/>
      <c r="I33" s="661"/>
    </row>
    <row r="34" spans="1:9" s="667" customFormat="1" ht="24" hidden="1" customHeight="1" x14ac:dyDescent="0.25">
      <c r="A34" s="701"/>
      <c r="B34" s="661"/>
      <c r="C34" s="664"/>
      <c r="D34" s="664"/>
      <c r="E34" s="664"/>
      <c r="F34" s="664"/>
      <c r="G34" s="665"/>
      <c r="H34" s="665"/>
      <c r="I34" s="661"/>
    </row>
    <row r="35" spans="1:9" s="599" customFormat="1" ht="10.5" x14ac:dyDescent="0.2">
      <c r="A35" s="942" t="s">
        <v>925</v>
      </c>
      <c r="B35" s="942"/>
      <c r="C35" s="942"/>
      <c r="D35" s="942"/>
      <c r="E35" s="942"/>
      <c r="F35" s="942"/>
      <c r="G35" s="942"/>
      <c r="H35" s="942"/>
      <c r="I35" s="942"/>
    </row>
    <row r="36" spans="1:9" s="667" customFormat="1" ht="21" x14ac:dyDescent="0.25">
      <c r="A36" s="701" t="s">
        <v>1036</v>
      </c>
      <c r="B36" s="661" t="s">
        <v>645</v>
      </c>
      <c r="C36" s="664" t="s">
        <v>897</v>
      </c>
      <c r="D36" s="664" t="s">
        <v>897</v>
      </c>
      <c r="E36" s="664" t="s">
        <v>898</v>
      </c>
      <c r="F36" s="663">
        <v>2016</v>
      </c>
      <c r="G36" s="665">
        <v>2276.7035000000001</v>
      </c>
      <c r="H36" s="665">
        <v>2422.54</v>
      </c>
      <c r="I36" s="661" t="s">
        <v>1037</v>
      </c>
    </row>
    <row r="37" spans="1:9" s="667" customFormat="1" ht="31.5" x14ac:dyDescent="0.25">
      <c r="A37" s="701" t="s">
        <v>1038</v>
      </c>
      <c r="B37" s="661" t="s">
        <v>651</v>
      </c>
      <c r="C37" s="664" t="s">
        <v>898</v>
      </c>
      <c r="D37" s="664" t="s">
        <v>898</v>
      </c>
      <c r="E37" s="664" t="s">
        <v>898</v>
      </c>
      <c r="F37" s="664" t="s">
        <v>898</v>
      </c>
      <c r="G37" s="665">
        <v>2276.7035168000002</v>
      </c>
      <c r="H37" s="665">
        <v>2917.6271500000003</v>
      </c>
      <c r="I37" s="661" t="s">
        <v>1037</v>
      </c>
    </row>
    <row r="38" spans="1:9" s="667" customFormat="1" ht="31.5" x14ac:dyDescent="0.25">
      <c r="A38" s="701" t="s">
        <v>1039</v>
      </c>
      <c r="B38" s="720" t="s">
        <v>1040</v>
      </c>
      <c r="C38" s="664" t="s">
        <v>898</v>
      </c>
      <c r="D38" s="664" t="s">
        <v>898</v>
      </c>
      <c r="E38" s="664" t="s">
        <v>898</v>
      </c>
      <c r="F38" s="664" t="s">
        <v>898</v>
      </c>
      <c r="G38" s="665">
        <v>2013.36</v>
      </c>
      <c r="H38" s="665">
        <v>2271.2372703999999</v>
      </c>
      <c r="I38" s="661" t="s">
        <v>1037</v>
      </c>
    </row>
    <row r="39" spans="1:9" s="667" customFormat="1" ht="21" x14ac:dyDescent="0.25">
      <c r="A39" s="701" t="s">
        <v>1041</v>
      </c>
      <c r="B39" s="661" t="s">
        <v>1042</v>
      </c>
      <c r="C39" s="664" t="s">
        <v>898</v>
      </c>
      <c r="D39" s="664" t="s">
        <v>898</v>
      </c>
      <c r="E39" s="664" t="s">
        <v>898</v>
      </c>
      <c r="F39" s="664" t="s">
        <v>898</v>
      </c>
      <c r="G39" s="665">
        <v>2806.3151800000001</v>
      </c>
      <c r="H39" s="665">
        <v>2378.19841</v>
      </c>
      <c r="I39" s="661" t="s">
        <v>1043</v>
      </c>
    </row>
    <row r="40" spans="1:9" s="667" customFormat="1" ht="21" x14ac:dyDescent="0.25">
      <c r="A40" s="701" t="s">
        <v>1044</v>
      </c>
      <c r="B40" s="661" t="s">
        <v>1045</v>
      </c>
      <c r="C40" s="664" t="s">
        <v>900</v>
      </c>
      <c r="D40" s="664" t="s">
        <v>898</v>
      </c>
      <c r="E40" s="664" t="s">
        <v>900</v>
      </c>
      <c r="F40" s="663" t="s">
        <v>413</v>
      </c>
      <c r="G40" s="665">
        <v>0</v>
      </c>
      <c r="H40" s="665">
        <v>795</v>
      </c>
      <c r="I40" s="661" t="s">
        <v>1046</v>
      </c>
    </row>
    <row r="41" spans="1:9" s="667" customFormat="1" ht="10.5" hidden="1" x14ac:dyDescent="0.25">
      <c r="A41" s="701"/>
      <c r="B41" s="661"/>
      <c r="C41" s="664"/>
      <c r="D41" s="664"/>
      <c r="E41" s="664"/>
      <c r="F41" s="663"/>
      <c r="G41" s="665"/>
      <c r="H41" s="665"/>
      <c r="I41" s="661"/>
    </row>
    <row r="42" spans="1:9" s="599" customFormat="1" ht="10.5" x14ac:dyDescent="0.2">
      <c r="A42" s="941" t="s">
        <v>929</v>
      </c>
      <c r="B42" s="941"/>
      <c r="C42" s="605"/>
      <c r="D42" s="605"/>
      <c r="E42" s="605"/>
      <c r="F42" s="605"/>
      <c r="G42" s="719">
        <f>G36+G37+G38+G39+G40</f>
        <v>9373.0821968</v>
      </c>
      <c r="H42" s="719">
        <f>H36+H37+H38+H39+H40</f>
        <v>10784.602830399999</v>
      </c>
      <c r="I42" s="604"/>
    </row>
    <row r="43" spans="1:9" s="598" customFormat="1" ht="10.5" x14ac:dyDescent="0.2">
      <c r="A43" s="947" t="s">
        <v>930</v>
      </c>
      <c r="B43" s="947"/>
      <c r="C43" s="947"/>
      <c r="D43" s="947"/>
      <c r="E43" s="947"/>
      <c r="F43" s="947"/>
      <c r="G43" s="947"/>
      <c r="H43" s="947"/>
      <c r="I43" s="947"/>
    </row>
    <row r="44" spans="1:9" s="667" customFormat="1" ht="31.5" x14ac:dyDescent="0.25">
      <c r="A44" s="663" t="s">
        <v>425</v>
      </c>
      <c r="B44" s="661" t="s">
        <v>640</v>
      </c>
      <c r="C44" s="664" t="s">
        <v>898</v>
      </c>
      <c r="D44" s="664" t="s">
        <v>413</v>
      </c>
      <c r="E44" s="664" t="s">
        <v>898</v>
      </c>
      <c r="F44" s="664" t="s">
        <v>413</v>
      </c>
      <c r="G44" s="665">
        <v>4700.041009666209</v>
      </c>
      <c r="H44" s="665">
        <v>0</v>
      </c>
      <c r="I44" s="661" t="s">
        <v>1047</v>
      </c>
    </row>
    <row r="45" spans="1:9" s="667" customFormat="1" ht="42" x14ac:dyDescent="0.25">
      <c r="A45" s="663" t="s">
        <v>426</v>
      </c>
      <c r="B45" s="661" t="s">
        <v>1048</v>
      </c>
      <c r="C45" s="664" t="s">
        <v>897</v>
      </c>
      <c r="D45" s="664" t="s">
        <v>897</v>
      </c>
      <c r="E45" s="664" t="s">
        <v>902</v>
      </c>
      <c r="F45" s="664" t="s">
        <v>413</v>
      </c>
      <c r="G45" s="665">
        <v>9193.01</v>
      </c>
      <c r="H45" s="665">
        <v>2000</v>
      </c>
      <c r="I45" s="661" t="s">
        <v>1049</v>
      </c>
    </row>
    <row r="46" spans="1:9" s="667" customFormat="1" ht="31.5" x14ac:dyDescent="0.25">
      <c r="A46" s="663" t="s">
        <v>427</v>
      </c>
      <c r="B46" s="661" t="s">
        <v>643</v>
      </c>
      <c r="C46" s="664" t="s">
        <v>898</v>
      </c>
      <c r="D46" s="664" t="s">
        <v>413</v>
      </c>
      <c r="E46" s="664" t="s">
        <v>898</v>
      </c>
      <c r="F46" s="664" t="s">
        <v>413</v>
      </c>
      <c r="G46" s="665">
        <v>3375.3987686141331</v>
      </c>
      <c r="H46" s="665">
        <v>0</v>
      </c>
      <c r="I46" s="661" t="s">
        <v>1047</v>
      </c>
    </row>
    <row r="47" spans="1:9" s="667" customFormat="1" ht="21" x14ac:dyDescent="0.25">
      <c r="A47" s="663" t="s">
        <v>489</v>
      </c>
      <c r="B47" s="720" t="s">
        <v>1050</v>
      </c>
      <c r="C47" s="664" t="s">
        <v>898</v>
      </c>
      <c r="D47" s="664" t="s">
        <v>898</v>
      </c>
      <c r="E47" s="664" t="s">
        <v>901</v>
      </c>
      <c r="F47" s="664" t="s">
        <v>413</v>
      </c>
      <c r="G47" s="665">
        <v>3768.88888</v>
      </c>
      <c r="H47" s="665">
        <v>3310.1759099999999</v>
      </c>
      <c r="I47" s="661" t="s">
        <v>1051</v>
      </c>
    </row>
    <row r="48" spans="1:9" s="599" customFormat="1" ht="10.5" x14ac:dyDescent="0.2">
      <c r="A48" s="941" t="s">
        <v>931</v>
      </c>
      <c r="B48" s="941"/>
      <c r="C48" s="714"/>
      <c r="D48" s="714"/>
      <c r="E48" s="714"/>
      <c r="F48" s="714"/>
      <c r="G48" s="719">
        <f>G44+G45+G46+G47</f>
        <v>21037.33865828034</v>
      </c>
      <c r="H48" s="719">
        <f>H44+H45+H46+H47</f>
        <v>5310.1759099999999</v>
      </c>
      <c r="I48" s="604"/>
    </row>
    <row r="49" spans="1:9" s="598" customFormat="1" ht="10.5" hidden="1" x14ac:dyDescent="0.2">
      <c r="A49" s="941" t="s">
        <v>932</v>
      </c>
      <c r="B49" s="941"/>
      <c r="C49" s="941"/>
      <c r="D49" s="941"/>
      <c r="E49" s="941"/>
      <c r="F49" s="941"/>
      <c r="G49" s="941"/>
      <c r="H49" s="941"/>
      <c r="I49" s="941"/>
    </row>
    <row r="50" spans="1:9" s="599" customFormat="1" ht="10.5" hidden="1" x14ac:dyDescent="0.2">
      <c r="A50" s="942" t="s">
        <v>933</v>
      </c>
      <c r="B50" s="942"/>
      <c r="C50" s="942"/>
      <c r="D50" s="942"/>
      <c r="E50" s="942"/>
      <c r="F50" s="942"/>
      <c r="G50" s="942"/>
      <c r="H50" s="942"/>
      <c r="I50" s="942"/>
    </row>
    <row r="51" spans="1:9" s="599" customFormat="1" ht="10.5" hidden="1" x14ac:dyDescent="0.2">
      <c r="A51" s="715" t="s">
        <v>934</v>
      </c>
      <c r="B51" s="604"/>
      <c r="C51" s="605"/>
      <c r="D51" s="605"/>
      <c r="E51" s="605"/>
      <c r="F51" s="605"/>
      <c r="G51" s="605"/>
      <c r="H51" s="605"/>
      <c r="I51" s="604"/>
    </row>
    <row r="52" spans="1:9" s="599" customFormat="1" ht="10.5" hidden="1" x14ac:dyDescent="0.2">
      <c r="A52" s="715" t="s">
        <v>935</v>
      </c>
      <c r="B52" s="604"/>
      <c r="C52" s="605"/>
      <c r="D52" s="605"/>
      <c r="E52" s="605"/>
      <c r="F52" s="605"/>
      <c r="G52" s="605"/>
      <c r="H52" s="605"/>
      <c r="I52" s="604"/>
    </row>
    <row r="53" spans="1:9" s="599" customFormat="1" ht="10.5" hidden="1" x14ac:dyDescent="0.2">
      <c r="A53" s="942" t="s">
        <v>936</v>
      </c>
      <c r="B53" s="942"/>
      <c r="C53" s="942"/>
      <c r="D53" s="942"/>
      <c r="E53" s="942"/>
      <c r="F53" s="942"/>
      <c r="G53" s="942"/>
      <c r="H53" s="942"/>
      <c r="I53" s="942"/>
    </row>
    <row r="54" spans="1:9" s="599" customFormat="1" ht="10.5" hidden="1" x14ac:dyDescent="0.2">
      <c r="A54" s="715" t="s">
        <v>937</v>
      </c>
      <c r="B54" s="604"/>
      <c r="C54" s="605"/>
      <c r="D54" s="605"/>
      <c r="E54" s="605"/>
      <c r="F54" s="605"/>
      <c r="G54" s="605"/>
      <c r="H54" s="605"/>
      <c r="I54" s="604"/>
    </row>
    <row r="55" spans="1:9" s="599" customFormat="1" ht="10.5" hidden="1" x14ac:dyDescent="0.2">
      <c r="A55" s="715" t="s">
        <v>938</v>
      </c>
      <c r="B55" s="604"/>
      <c r="C55" s="605"/>
      <c r="D55" s="605"/>
      <c r="E55" s="605"/>
      <c r="F55" s="605"/>
      <c r="G55" s="605"/>
      <c r="H55" s="605"/>
      <c r="I55" s="604"/>
    </row>
    <row r="56" spans="1:9" s="599" customFormat="1" ht="10.5" hidden="1" x14ac:dyDescent="0.2">
      <c r="A56" s="942" t="s">
        <v>939</v>
      </c>
      <c r="B56" s="942"/>
      <c r="C56" s="605"/>
      <c r="D56" s="605"/>
      <c r="E56" s="605"/>
      <c r="F56" s="605"/>
      <c r="G56" s="605"/>
      <c r="H56" s="605"/>
      <c r="I56" s="604"/>
    </row>
    <row r="57" spans="1:9" ht="10.15" customHeight="1" x14ac:dyDescent="0.2">
      <c r="A57" s="941" t="s">
        <v>1052</v>
      </c>
      <c r="B57" s="941"/>
      <c r="C57" s="690"/>
      <c r="D57" s="690"/>
      <c r="E57" s="690"/>
      <c r="F57" s="690"/>
      <c r="G57" s="719">
        <f>G23+G42+G48</f>
        <v>41813.773897320112</v>
      </c>
      <c r="H57" s="719">
        <f>H23+H42+H48</f>
        <v>19683.077740399996</v>
      </c>
      <c r="I57" s="690"/>
    </row>
    <row r="58" spans="1:9" s="594" customFormat="1" ht="12" customHeight="1" x14ac:dyDescent="0.2">
      <c r="A58" s="946" t="s">
        <v>1053</v>
      </c>
      <c r="B58" s="946"/>
      <c r="C58" s="946"/>
      <c r="D58" s="946"/>
      <c r="E58" s="946"/>
      <c r="F58" s="946"/>
      <c r="G58" s="946"/>
      <c r="H58" s="946"/>
      <c r="I58" s="946"/>
    </row>
    <row r="59" spans="1:9" s="595" customFormat="1" ht="12" x14ac:dyDescent="0.2">
      <c r="D59" s="595" t="s">
        <v>96</v>
      </c>
      <c r="E59" s="721"/>
      <c r="F59" s="721"/>
      <c r="G59" s="721"/>
      <c r="H59" s="721"/>
    </row>
  </sheetData>
  <mergeCells count="29">
    <mergeCell ref="A57:B57"/>
    <mergeCell ref="A58:I58"/>
    <mergeCell ref="A43:I43"/>
    <mergeCell ref="A48:B48"/>
    <mergeCell ref="A49:I49"/>
    <mergeCell ref="A50:I50"/>
    <mergeCell ref="A53:I53"/>
    <mergeCell ref="A56:B56"/>
    <mergeCell ref="A42:B42"/>
    <mergeCell ref="A10:I10"/>
    <mergeCell ref="A11:I11"/>
    <mergeCell ref="A14:I14"/>
    <mergeCell ref="A17:I17"/>
    <mergeCell ref="A20:I20"/>
    <mergeCell ref="A23:B23"/>
    <mergeCell ref="A24:I24"/>
    <mergeCell ref="A29:B29"/>
    <mergeCell ref="A30:I30"/>
    <mergeCell ref="A31:I31"/>
    <mergeCell ref="A35:I35"/>
    <mergeCell ref="A2:I2"/>
    <mergeCell ref="A3:I3"/>
    <mergeCell ref="A4:I4"/>
    <mergeCell ref="A7:A8"/>
    <mergeCell ref="B7:B8"/>
    <mergeCell ref="C7:D7"/>
    <mergeCell ref="E7:F7"/>
    <mergeCell ref="G7:H7"/>
    <mergeCell ref="I7:I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view="pageBreakPreview" zoomScale="70" zoomScaleNormal="100" zoomScaleSheetLayoutView="70" workbookViewId="0">
      <selection activeCell="G26" sqref="G26:O26"/>
    </sheetView>
  </sheetViews>
  <sheetFormatPr defaultColWidth="8.25" defaultRowHeight="15.75" x14ac:dyDescent="0.25"/>
  <cols>
    <col min="1" max="1" width="34" style="560" customWidth="1"/>
    <col min="2" max="2" width="11.375" style="560" customWidth="1"/>
    <col min="3" max="3" width="12.125" style="560" customWidth="1"/>
    <col min="4" max="4" width="10.75" style="560" customWidth="1"/>
    <col min="5" max="5" width="11.75" style="560" customWidth="1"/>
    <col min="6" max="6" width="11.75" style="560" hidden="1" customWidth="1"/>
    <col min="7" max="7" width="10" style="560" customWidth="1"/>
    <col min="8" max="13" width="9.25" style="560" bestFit="1" customWidth="1"/>
    <col min="14" max="14" width="9.75" style="560" bestFit="1" customWidth="1"/>
    <col min="15" max="15" width="10.25" style="560" customWidth="1"/>
    <col min="16" max="16" width="5.875" style="879" customWidth="1"/>
    <col min="17" max="17" width="17" style="560" customWidth="1"/>
    <col min="18" max="18" width="9.125" style="560" bestFit="1" customWidth="1"/>
    <col min="19" max="16384" width="8.25" style="560"/>
  </cols>
  <sheetData>
    <row r="1" spans="1:17" x14ac:dyDescent="0.25">
      <c r="A1" s="556" t="s">
        <v>954</v>
      </c>
    </row>
    <row r="2" spans="1:17" ht="18.75" x14ac:dyDescent="0.3">
      <c r="A2" s="1218" t="s">
        <v>858</v>
      </c>
      <c r="B2" s="1218"/>
      <c r="C2" s="1218"/>
      <c r="D2" s="1218"/>
      <c r="E2" s="1218"/>
      <c r="F2" s="1218"/>
      <c r="G2" s="1218"/>
      <c r="H2" s="1218"/>
      <c r="I2" s="1218"/>
      <c r="J2" s="708"/>
      <c r="K2" s="708"/>
      <c r="L2" s="708"/>
      <c r="M2" s="708"/>
      <c r="N2" s="708"/>
      <c r="O2" s="708"/>
      <c r="P2" s="880"/>
      <c r="Q2" s="708"/>
    </row>
    <row r="3" spans="1:17" ht="17.45" customHeight="1" x14ac:dyDescent="0.3">
      <c r="A3" s="585" t="s">
        <v>849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3"/>
      <c r="M3" s="583"/>
      <c r="N3" s="583"/>
      <c r="O3" s="583"/>
      <c r="P3" s="881"/>
      <c r="Q3" s="586"/>
    </row>
    <row r="4" spans="1:17" x14ac:dyDescent="0.25">
      <c r="O4" s="586" t="s">
        <v>853</v>
      </c>
      <c r="P4" s="882"/>
    </row>
    <row r="5" spans="1:17" ht="15.6" customHeight="1" x14ac:dyDescent="0.25">
      <c r="A5" s="1225" t="s">
        <v>850</v>
      </c>
      <c r="B5" s="1226"/>
      <c r="C5" s="1226"/>
      <c r="D5" s="1226"/>
      <c r="E5" s="1227"/>
      <c r="F5" s="887"/>
      <c r="G5" s="1237" t="s">
        <v>859</v>
      </c>
      <c r="H5" s="1237"/>
      <c r="I5" s="1237"/>
      <c r="J5" s="1237"/>
      <c r="K5" s="1237"/>
      <c r="L5" s="1237"/>
      <c r="M5" s="1237"/>
      <c r="N5" s="1237"/>
      <c r="O5" s="1237"/>
      <c r="P5" s="883"/>
    </row>
    <row r="6" spans="1:17" hidden="1" x14ac:dyDescent="0.25">
      <c r="A6" s="669"/>
      <c r="B6" s="1228"/>
      <c r="C6" s="1228"/>
      <c r="D6" s="1228"/>
      <c r="E6" s="670"/>
      <c r="F6" s="670"/>
      <c r="G6" s="1237"/>
      <c r="H6" s="1237"/>
      <c r="I6" s="1237"/>
      <c r="J6" s="1237"/>
      <c r="K6" s="1237"/>
      <c r="L6" s="1237"/>
      <c r="M6" s="1237"/>
      <c r="N6" s="1237"/>
      <c r="O6" s="1237"/>
      <c r="P6" s="883"/>
    </row>
    <row r="7" spans="1:17" x14ac:dyDescent="0.25">
      <c r="A7" s="1229" t="s">
        <v>1122</v>
      </c>
      <c r="B7" s="1230"/>
      <c r="C7" s="1230"/>
      <c r="D7" s="1230"/>
      <c r="E7" s="1231"/>
      <c r="F7" s="888"/>
      <c r="G7" s="1237"/>
      <c r="H7" s="1237"/>
      <c r="I7" s="1237"/>
      <c r="J7" s="1237"/>
      <c r="K7" s="1237"/>
      <c r="L7" s="1237"/>
      <c r="M7" s="1237"/>
      <c r="N7" s="1237"/>
      <c r="O7" s="1237"/>
      <c r="P7" s="883"/>
    </row>
    <row r="8" spans="1:17" x14ac:dyDescent="0.25">
      <c r="A8" s="1232" t="s">
        <v>999</v>
      </c>
      <c r="B8" s="1234" t="s">
        <v>1000</v>
      </c>
      <c r="C8" s="1234"/>
      <c r="D8" s="1234"/>
      <c r="E8" s="671" t="s">
        <v>851</v>
      </c>
      <c r="F8" s="889"/>
      <c r="G8" s="1235" t="s">
        <v>445</v>
      </c>
      <c r="H8" s="1235"/>
      <c r="I8" s="1235"/>
      <c r="J8" s="1235"/>
      <c r="K8" s="1235"/>
      <c r="L8" s="1235"/>
      <c r="M8" s="1235"/>
      <c r="N8" s="1235"/>
      <c r="O8" s="1236"/>
      <c r="P8" s="877"/>
    </row>
    <row r="9" spans="1:17" ht="47.25" x14ac:dyDescent="0.25">
      <c r="A9" s="1233"/>
      <c r="B9" s="671" t="s">
        <v>1001</v>
      </c>
      <c r="C9" s="671" t="s">
        <v>1002</v>
      </c>
      <c r="D9" s="679" t="s">
        <v>852</v>
      </c>
      <c r="E9" s="671" t="s">
        <v>1003</v>
      </c>
      <c r="F9" s="890" t="s">
        <v>1281</v>
      </c>
      <c r="G9" s="759" t="s">
        <v>1004</v>
      </c>
      <c r="H9" s="672">
        <v>2019</v>
      </c>
      <c r="I9" s="672">
        <v>2020</v>
      </c>
      <c r="J9" s="774">
        <v>2021</v>
      </c>
      <c r="K9" s="775">
        <v>2022</v>
      </c>
      <c r="L9" s="775">
        <v>2023</v>
      </c>
      <c r="M9" s="775">
        <v>2024</v>
      </c>
      <c r="N9" s="775">
        <v>2025</v>
      </c>
      <c r="O9" s="873">
        <v>2026</v>
      </c>
      <c r="P9" s="877"/>
    </row>
    <row r="10" spans="1:17" x14ac:dyDescent="0.25">
      <c r="A10" s="673" t="s">
        <v>1005</v>
      </c>
      <c r="B10" s="674">
        <f>SUM(B13:B25)</f>
        <v>10838129.109999999</v>
      </c>
      <c r="C10" s="674">
        <f>SUM(C13:C25)</f>
        <v>1770563.1900000002</v>
      </c>
      <c r="D10" s="674">
        <f>SUM(D13:D25)</f>
        <v>9067565.9199999999</v>
      </c>
      <c r="E10" s="674">
        <f>SUM(E13:E25)</f>
        <v>92723.739999999991</v>
      </c>
      <c r="F10" s="674">
        <f>SUM(F13:F25)+F26</f>
        <v>1108433.6200000001</v>
      </c>
      <c r="G10" s="896">
        <f>SUM(G13:G25)+G26</f>
        <v>1133488.4927360774</v>
      </c>
      <c r="H10" s="896">
        <f>SUM(H13:H25)+H26</f>
        <v>1358352.9579782663</v>
      </c>
      <c r="I10" s="896">
        <f>SUM(I13:I25)+I26</f>
        <v>2056488.8212270278</v>
      </c>
      <c r="J10" s="896">
        <f t="shared" ref="J10:O10" si="0">SUM(J13:J25)+J26</f>
        <v>2322463.5376677057</v>
      </c>
      <c r="K10" s="896">
        <f t="shared" si="0"/>
        <v>2327964.4813723061</v>
      </c>
      <c r="L10" s="896">
        <f t="shared" si="0"/>
        <v>2365360.0624861079</v>
      </c>
      <c r="M10" s="896">
        <f t="shared" si="0"/>
        <v>2374210.9140962195</v>
      </c>
      <c r="N10" s="896">
        <f t="shared" si="0"/>
        <v>2851165.4987328481</v>
      </c>
      <c r="O10" s="897">
        <f t="shared" si="0"/>
        <v>1495044.108151735</v>
      </c>
      <c r="P10" s="884"/>
    </row>
    <row r="11" spans="1:17" x14ac:dyDescent="0.25">
      <c r="A11" s="1219" t="s">
        <v>1006</v>
      </c>
      <c r="B11" s="1220"/>
      <c r="C11" s="1220"/>
      <c r="D11" s="1220"/>
      <c r="E11" s="1221"/>
      <c r="F11" s="675">
        <f>F16</f>
        <v>0</v>
      </c>
      <c r="G11" s="898">
        <f>G16</f>
        <v>0</v>
      </c>
      <c r="H11" s="898">
        <f t="shared" ref="H11:O11" si="1">H16</f>
        <v>0</v>
      </c>
      <c r="I11" s="898">
        <f t="shared" si="1"/>
        <v>0</v>
      </c>
      <c r="J11" s="898">
        <f t="shared" si="1"/>
        <v>0</v>
      </c>
      <c r="K11" s="898">
        <f t="shared" si="1"/>
        <v>0</v>
      </c>
      <c r="L11" s="898">
        <f t="shared" si="1"/>
        <v>0</v>
      </c>
      <c r="M11" s="898">
        <f t="shared" si="1"/>
        <v>0</v>
      </c>
      <c r="N11" s="898">
        <f t="shared" si="1"/>
        <v>0</v>
      </c>
      <c r="O11" s="899">
        <f t="shared" si="1"/>
        <v>0</v>
      </c>
      <c r="P11" s="885"/>
    </row>
    <row r="12" spans="1:17" x14ac:dyDescent="0.25">
      <c r="A12" s="1219" t="s">
        <v>1007</v>
      </c>
      <c r="B12" s="1220"/>
      <c r="C12" s="1220"/>
      <c r="D12" s="1220"/>
      <c r="E12" s="1221"/>
      <c r="F12" s="675">
        <f>F10-F11</f>
        <v>1108433.6200000001</v>
      </c>
      <c r="G12" s="898">
        <f>G10-G11</f>
        <v>1133488.4927360774</v>
      </c>
      <c r="H12" s="898">
        <f t="shared" ref="H12:I12" si="2">H10-H11</f>
        <v>1358352.9579782663</v>
      </c>
      <c r="I12" s="898">
        <f t="shared" si="2"/>
        <v>2056488.8212270278</v>
      </c>
      <c r="J12" s="898">
        <f t="shared" ref="J12:O12" si="3">J10-J11</f>
        <v>2322463.5376677057</v>
      </c>
      <c r="K12" s="898">
        <f t="shared" si="3"/>
        <v>2327964.4813723061</v>
      </c>
      <c r="L12" s="898">
        <f t="shared" si="3"/>
        <v>2365360.0624861079</v>
      </c>
      <c r="M12" s="898">
        <f t="shared" si="3"/>
        <v>2374210.9140962195</v>
      </c>
      <c r="N12" s="898">
        <f t="shared" si="3"/>
        <v>2851165.4987328481</v>
      </c>
      <c r="O12" s="899">
        <f t="shared" si="3"/>
        <v>1495044.108151735</v>
      </c>
      <c r="P12" s="885"/>
    </row>
    <row r="13" spans="1:17" x14ac:dyDescent="0.25">
      <c r="A13" s="772" t="s">
        <v>1010</v>
      </c>
      <c r="B13" s="773">
        <v>65000</v>
      </c>
      <c r="C13" s="773">
        <v>20119.060000000001</v>
      </c>
      <c r="D13" s="773">
        <v>44880.94</v>
      </c>
      <c r="E13" s="773">
        <v>773.81</v>
      </c>
      <c r="F13" s="773">
        <f t="shared" ref="F13:F25" si="4">$E13*12</f>
        <v>9285.7199999999993</v>
      </c>
      <c r="G13" s="678">
        <f>$E13*12</f>
        <v>9285.7199999999993</v>
      </c>
      <c r="H13" s="678">
        <f t="shared" ref="H13:I13" si="5">$E13*12</f>
        <v>9285.7199999999993</v>
      </c>
      <c r="I13" s="678">
        <f t="shared" si="5"/>
        <v>9285.7199999999993</v>
      </c>
      <c r="J13" s="678">
        <v>6964.2500000000036</v>
      </c>
      <c r="K13" s="678"/>
      <c r="L13" s="678"/>
      <c r="M13" s="678"/>
      <c r="N13" s="678"/>
      <c r="O13" s="874"/>
      <c r="P13" s="878"/>
      <c r="Q13" s="876">
        <f>D13-E13-G13-H13-I13-J13-K13-L13-M13-N13-O13-F13</f>
        <v>0</v>
      </c>
    </row>
    <row r="14" spans="1:17" ht="31.5" x14ac:dyDescent="0.25">
      <c r="A14" s="772" t="s">
        <v>1009</v>
      </c>
      <c r="B14" s="773">
        <v>63764.61</v>
      </c>
      <c r="C14" s="773">
        <v>52074.26</v>
      </c>
      <c r="D14" s="773">
        <v>11690.35</v>
      </c>
      <c r="E14" s="773">
        <v>1062.74</v>
      </c>
      <c r="F14" s="773">
        <v>10627.61</v>
      </c>
      <c r="G14" s="678"/>
      <c r="H14" s="678"/>
      <c r="I14" s="678"/>
      <c r="J14" s="678"/>
      <c r="K14" s="678"/>
      <c r="L14" s="678"/>
      <c r="M14" s="678"/>
      <c r="N14" s="678"/>
      <c r="O14" s="874"/>
      <c r="P14" s="878"/>
      <c r="Q14" s="876">
        <f t="shared" ref="Q14:Q25" si="6">D14-E14-G14-H14-I14-J14-K14-L14-M14-N14-O14-F14</f>
        <v>0</v>
      </c>
    </row>
    <row r="15" spans="1:17" ht="31.5" x14ac:dyDescent="0.25">
      <c r="A15" s="772" t="s">
        <v>1009</v>
      </c>
      <c r="B15" s="773">
        <v>63764.61</v>
      </c>
      <c r="C15" s="773">
        <v>52074.26</v>
      </c>
      <c r="D15" s="773">
        <v>11690.35</v>
      </c>
      <c r="E15" s="773">
        <v>1062.74</v>
      </c>
      <c r="F15" s="773">
        <v>10627.61</v>
      </c>
      <c r="G15" s="678"/>
      <c r="H15" s="678"/>
      <c r="I15" s="678"/>
      <c r="J15" s="678"/>
      <c r="K15" s="678"/>
      <c r="L15" s="678"/>
      <c r="M15" s="678"/>
      <c r="N15" s="678"/>
      <c r="O15" s="874"/>
      <c r="P15" s="878"/>
      <c r="Q15" s="876">
        <f t="shared" si="6"/>
        <v>0</v>
      </c>
    </row>
    <row r="16" spans="1:17" ht="31.5" x14ac:dyDescent="0.25">
      <c r="A16" s="777" t="s">
        <v>1008</v>
      </c>
      <c r="B16" s="778">
        <v>1646295.61</v>
      </c>
      <c r="C16" s="778">
        <v>1646295.61</v>
      </c>
      <c r="D16" s="778"/>
      <c r="E16" s="778"/>
      <c r="F16" s="778">
        <f t="shared" si="4"/>
        <v>0</v>
      </c>
      <c r="G16" s="779">
        <v>0</v>
      </c>
      <c r="H16" s="779">
        <v>0</v>
      </c>
      <c r="I16" s="779">
        <v>0</v>
      </c>
      <c r="J16" s="779">
        <v>0</v>
      </c>
      <c r="K16" s="779">
        <v>0</v>
      </c>
      <c r="L16" s="779">
        <v>0</v>
      </c>
      <c r="M16" s="779">
        <v>0</v>
      </c>
      <c r="N16" s="779">
        <v>0</v>
      </c>
      <c r="O16" s="875">
        <v>0</v>
      </c>
      <c r="P16" s="878"/>
      <c r="Q16" s="876">
        <f t="shared" si="6"/>
        <v>0</v>
      </c>
    </row>
    <row r="17" spans="1:17" x14ac:dyDescent="0.25">
      <c r="A17" s="772" t="s">
        <v>1124</v>
      </c>
      <c r="B17" s="773">
        <v>0.01</v>
      </c>
      <c r="C17" s="773"/>
      <c r="D17" s="773">
        <v>0.01</v>
      </c>
      <c r="E17" s="773">
        <v>0.01</v>
      </c>
      <c r="F17" s="773">
        <v>0</v>
      </c>
      <c r="G17" s="678">
        <v>0</v>
      </c>
      <c r="H17" s="678">
        <v>0</v>
      </c>
      <c r="I17" s="678">
        <v>0</v>
      </c>
      <c r="J17" s="678">
        <v>0</v>
      </c>
      <c r="K17" s="678">
        <v>0</v>
      </c>
      <c r="L17" s="678">
        <v>0</v>
      </c>
      <c r="M17" s="678">
        <v>0</v>
      </c>
      <c r="N17" s="678">
        <v>0</v>
      </c>
      <c r="O17" s="874">
        <v>0</v>
      </c>
      <c r="P17" s="878"/>
      <c r="Q17" s="876">
        <f t="shared" si="6"/>
        <v>0</v>
      </c>
    </row>
    <row r="18" spans="1:17" x14ac:dyDescent="0.25">
      <c r="A18" s="772" t="s">
        <v>1125</v>
      </c>
      <c r="B18" s="773">
        <v>0.01</v>
      </c>
      <c r="C18" s="773"/>
      <c r="D18" s="773">
        <v>0.01</v>
      </c>
      <c r="E18" s="773">
        <v>0.01</v>
      </c>
      <c r="F18" s="773">
        <v>0</v>
      </c>
      <c r="G18" s="678">
        <v>0</v>
      </c>
      <c r="H18" s="678">
        <v>0</v>
      </c>
      <c r="I18" s="678">
        <v>0</v>
      </c>
      <c r="J18" s="678">
        <v>0</v>
      </c>
      <c r="K18" s="678">
        <v>0</v>
      </c>
      <c r="L18" s="678">
        <v>0</v>
      </c>
      <c r="M18" s="678">
        <v>0</v>
      </c>
      <c r="N18" s="678">
        <v>0</v>
      </c>
      <c r="O18" s="874">
        <v>0</v>
      </c>
      <c r="P18" s="878"/>
      <c r="Q18" s="876">
        <f t="shared" si="6"/>
        <v>0</v>
      </c>
    </row>
    <row r="19" spans="1:17" ht="47.25" x14ac:dyDescent="0.25">
      <c r="A19" s="772" t="s">
        <v>1126</v>
      </c>
      <c r="B19" s="773">
        <v>198710.54</v>
      </c>
      <c r="C19" s="773"/>
      <c r="D19" s="773">
        <v>198710.54</v>
      </c>
      <c r="E19" s="773">
        <v>8279.61</v>
      </c>
      <c r="F19" s="773">
        <f t="shared" si="4"/>
        <v>99355.32</v>
      </c>
      <c r="G19" s="678">
        <v>91075.609999999986</v>
      </c>
      <c r="H19" s="678"/>
      <c r="I19" s="678"/>
      <c r="J19" s="678"/>
      <c r="K19" s="678"/>
      <c r="L19" s="678"/>
      <c r="M19" s="678"/>
      <c r="N19" s="678"/>
      <c r="O19" s="874"/>
      <c r="P19" s="878"/>
      <c r="Q19" s="876">
        <f t="shared" si="6"/>
        <v>0</v>
      </c>
    </row>
    <row r="20" spans="1:17" ht="47.25" x14ac:dyDescent="0.25">
      <c r="A20" s="772" t="s">
        <v>1127</v>
      </c>
      <c r="B20" s="773">
        <v>152190.81</v>
      </c>
      <c r="C20" s="773"/>
      <c r="D20" s="773">
        <v>152190.81</v>
      </c>
      <c r="E20" s="773">
        <v>6341.28</v>
      </c>
      <c r="F20" s="773">
        <f t="shared" si="4"/>
        <v>76095.360000000001</v>
      </c>
      <c r="G20" s="678">
        <v>69754.17</v>
      </c>
      <c r="H20" s="678"/>
      <c r="I20" s="678"/>
      <c r="J20" s="678"/>
      <c r="K20" s="678"/>
      <c r="L20" s="678"/>
      <c r="M20" s="678"/>
      <c r="N20" s="678"/>
      <c r="O20" s="874"/>
      <c r="P20" s="878"/>
      <c r="Q20" s="876">
        <f t="shared" si="6"/>
        <v>0</v>
      </c>
    </row>
    <row r="21" spans="1:17" ht="47.25" x14ac:dyDescent="0.25">
      <c r="A21" s="772" t="s">
        <v>1128</v>
      </c>
      <c r="B21" s="773">
        <v>0.01</v>
      </c>
      <c r="C21" s="773"/>
      <c r="D21" s="773">
        <v>0.01</v>
      </c>
      <c r="E21" s="773">
        <v>0.01</v>
      </c>
      <c r="F21" s="773">
        <v>0</v>
      </c>
      <c r="G21" s="678">
        <v>0</v>
      </c>
      <c r="H21" s="678">
        <v>0</v>
      </c>
      <c r="I21" s="678">
        <v>0</v>
      </c>
      <c r="J21" s="678">
        <v>0</v>
      </c>
      <c r="K21" s="678">
        <v>0</v>
      </c>
      <c r="L21" s="678">
        <v>0</v>
      </c>
      <c r="M21" s="678">
        <v>0</v>
      </c>
      <c r="N21" s="678">
        <v>0</v>
      </c>
      <c r="O21" s="874">
        <v>0</v>
      </c>
      <c r="P21" s="878"/>
      <c r="Q21" s="876">
        <f t="shared" si="6"/>
        <v>0</v>
      </c>
    </row>
    <row r="22" spans="1:17" ht="31.5" x14ac:dyDescent="0.25">
      <c r="A22" s="772" t="s">
        <v>1129</v>
      </c>
      <c r="B22" s="773">
        <v>0.01</v>
      </c>
      <c r="C22" s="773"/>
      <c r="D22" s="773">
        <v>0.01</v>
      </c>
      <c r="E22" s="773">
        <v>0.01</v>
      </c>
      <c r="F22" s="773">
        <v>0</v>
      </c>
      <c r="G22" s="678">
        <v>0</v>
      </c>
      <c r="H22" s="678">
        <v>0</v>
      </c>
      <c r="I22" s="678">
        <v>0</v>
      </c>
      <c r="J22" s="678">
        <v>0</v>
      </c>
      <c r="K22" s="678">
        <v>0</v>
      </c>
      <c r="L22" s="678">
        <v>0</v>
      </c>
      <c r="M22" s="678">
        <v>0</v>
      </c>
      <c r="N22" s="678">
        <v>0</v>
      </c>
      <c r="O22" s="874">
        <v>0</v>
      </c>
      <c r="P22" s="878"/>
      <c r="Q22" s="876">
        <f t="shared" si="6"/>
        <v>0</v>
      </c>
    </row>
    <row r="23" spans="1:17" ht="31.5" x14ac:dyDescent="0.25">
      <c r="A23" s="772" t="s">
        <v>1130</v>
      </c>
      <c r="B23" s="773">
        <v>0.01</v>
      </c>
      <c r="C23" s="773"/>
      <c r="D23" s="773">
        <v>0.01</v>
      </c>
      <c r="E23" s="773">
        <v>0.01</v>
      </c>
      <c r="F23" s="773">
        <v>0</v>
      </c>
      <c r="G23" s="678">
        <v>0</v>
      </c>
      <c r="H23" s="678">
        <v>0</v>
      </c>
      <c r="I23" s="678">
        <v>0</v>
      </c>
      <c r="J23" s="678">
        <v>0</v>
      </c>
      <c r="K23" s="678">
        <v>0</v>
      </c>
      <c r="L23" s="678">
        <v>0</v>
      </c>
      <c r="M23" s="678">
        <v>0</v>
      </c>
      <c r="N23" s="678">
        <v>0</v>
      </c>
      <c r="O23" s="874">
        <v>0</v>
      </c>
      <c r="P23" s="878"/>
      <c r="Q23" s="876">
        <f t="shared" si="6"/>
        <v>0</v>
      </c>
    </row>
    <row r="24" spans="1:17" ht="31.5" x14ac:dyDescent="0.25">
      <c r="A24" s="772" t="s">
        <v>1131</v>
      </c>
      <c r="B24" s="773">
        <v>0.01</v>
      </c>
      <c r="C24" s="773"/>
      <c r="D24" s="773">
        <v>0.01</v>
      </c>
      <c r="E24" s="773">
        <v>0.01</v>
      </c>
      <c r="F24" s="773">
        <v>0</v>
      </c>
      <c r="G24" s="678">
        <v>0</v>
      </c>
      <c r="H24" s="678">
        <v>0</v>
      </c>
      <c r="I24" s="678">
        <v>0</v>
      </c>
      <c r="J24" s="678">
        <v>0</v>
      </c>
      <c r="K24" s="678">
        <v>0</v>
      </c>
      <c r="L24" s="678">
        <v>0</v>
      </c>
      <c r="M24" s="678">
        <v>0</v>
      </c>
      <c r="N24" s="678">
        <v>0</v>
      </c>
      <c r="O24" s="874">
        <v>0</v>
      </c>
      <c r="P24" s="878"/>
      <c r="Q24" s="876">
        <f t="shared" si="6"/>
        <v>0</v>
      </c>
    </row>
    <row r="25" spans="1:17" x14ac:dyDescent="0.25">
      <c r="A25" s="772" t="s">
        <v>1132</v>
      </c>
      <c r="B25" s="773">
        <v>8648402.8699999992</v>
      </c>
      <c r="C25" s="773"/>
      <c r="D25" s="773">
        <v>8648402.8699999992</v>
      </c>
      <c r="E25" s="773">
        <v>75203.5</v>
      </c>
      <c r="F25" s="773">
        <f t="shared" si="4"/>
        <v>902442</v>
      </c>
      <c r="G25" s="678">
        <f>$E25*12</f>
        <v>902442</v>
      </c>
      <c r="H25" s="678">
        <f t="shared" ref="H25:M25" si="7">$E25*12</f>
        <v>902442</v>
      </c>
      <c r="I25" s="678">
        <f t="shared" si="7"/>
        <v>902442</v>
      </c>
      <c r="J25" s="678">
        <f t="shared" si="7"/>
        <v>902442</v>
      </c>
      <c r="K25" s="678">
        <f t="shared" si="7"/>
        <v>902442</v>
      </c>
      <c r="L25" s="678">
        <f t="shared" si="7"/>
        <v>902442</v>
      </c>
      <c r="M25" s="678">
        <f t="shared" si="7"/>
        <v>902442</v>
      </c>
      <c r="N25" s="678">
        <v>1353663.3699999992</v>
      </c>
      <c r="O25" s="874"/>
      <c r="P25" s="878"/>
      <c r="Q25" s="876">
        <f t="shared" si="6"/>
        <v>0</v>
      </c>
    </row>
    <row r="26" spans="1:17" x14ac:dyDescent="0.25">
      <c r="A26" s="1222" t="s">
        <v>1123</v>
      </c>
      <c r="B26" s="1223"/>
      <c r="C26" s="1223"/>
      <c r="D26" s="1223"/>
      <c r="E26" s="1224"/>
      <c r="F26" s="886"/>
      <c r="G26" s="900">
        <f>SUM(G27:G33)</f>
        <v>60930.992736077482</v>
      </c>
      <c r="H26" s="900">
        <f t="shared" ref="H26:O26" si="8">SUM(H27:H33)</f>
        <v>446625.23797826632</v>
      </c>
      <c r="I26" s="900">
        <f t="shared" si="8"/>
        <v>1144761.1012270278</v>
      </c>
      <c r="J26" s="900">
        <f t="shared" si="8"/>
        <v>1413057.2876677059</v>
      </c>
      <c r="K26" s="900">
        <f t="shared" si="8"/>
        <v>1425522.4813723064</v>
      </c>
      <c r="L26" s="900">
        <f t="shared" si="8"/>
        <v>1462918.0624861079</v>
      </c>
      <c r="M26" s="900">
        <f t="shared" si="8"/>
        <v>1471768.9140962192</v>
      </c>
      <c r="N26" s="900">
        <f t="shared" si="8"/>
        <v>1497502.1287328491</v>
      </c>
      <c r="O26" s="901">
        <f t="shared" si="8"/>
        <v>1495044.108151735</v>
      </c>
      <c r="P26" s="878"/>
    </row>
    <row r="27" spans="1:17" ht="82.15" customHeight="1" x14ac:dyDescent="0.25">
      <c r="A27" s="689" t="str">
        <f>'График амотриз'!B21</f>
        <v>Модернизация системы контроля, учета качества тепловой энергии и теплоносителя на котельной с передачей информации на центральный диспетчерский пункт.</v>
      </c>
      <c r="B27" s="676"/>
      <c r="C27" s="676"/>
      <c r="D27" s="677"/>
      <c r="E27" s="676"/>
      <c r="F27" s="676"/>
      <c r="G27" s="678"/>
      <c r="H27" s="678">
        <f>'График амотриз'!N21*1000</f>
        <v>126777.54237288136</v>
      </c>
      <c r="I27" s="678">
        <f>'График амотриз'!Q21*1000</f>
        <v>507110.16949152545</v>
      </c>
      <c r="J27" s="678">
        <f>'График амотриз'!T21*1000</f>
        <v>507110.16949152545</v>
      </c>
      <c r="K27" s="678">
        <f>'График амотриз'!W21*1000</f>
        <v>380332.62711864401</v>
      </c>
      <c r="L27" s="678"/>
      <c r="M27" s="678"/>
      <c r="N27" s="678"/>
      <c r="O27" s="874"/>
      <c r="P27" s="878"/>
    </row>
    <row r="28" spans="1:17" ht="52.9" customHeight="1" x14ac:dyDescent="0.25">
      <c r="A28" s="689" t="str">
        <f>'График амотриз'!B22</f>
        <v>Модернизация сетевой насосной группы котельной с внедрением автоматического управления и частотного регулирования</v>
      </c>
      <c r="B28" s="676"/>
      <c r="C28" s="676"/>
      <c r="D28" s="677"/>
      <c r="E28" s="676"/>
      <c r="F28" s="676"/>
      <c r="G28" s="678"/>
      <c r="H28" s="678">
        <f>'График амотриз'!N22*1000</f>
        <v>76123.724661075001</v>
      </c>
      <c r="I28" s="678">
        <f>'График амотриз'!Q22*1000</f>
        <v>304494.8986443</v>
      </c>
      <c r="J28" s="678">
        <f>'График амотриз'!T22*1000</f>
        <v>304494.8986443</v>
      </c>
      <c r="K28" s="678">
        <f>'График амотриз'!W22*1000</f>
        <v>304494.8986443</v>
      </c>
      <c r="L28" s="678">
        <f>'График амотриз'!Z22*1000</f>
        <v>304494.8986443</v>
      </c>
      <c r="M28" s="678">
        <f>'График амотриз'!AC22*1000</f>
        <v>228371.17398322502</v>
      </c>
      <c r="N28" s="678"/>
      <c r="O28" s="874"/>
      <c r="P28" s="878"/>
    </row>
    <row r="29" spans="1:17" ht="31.5" x14ac:dyDescent="0.25">
      <c r="A29" s="689" t="str">
        <f>'График амотриз'!B23</f>
        <v>Замена одного стального водогрейного котла на новый</v>
      </c>
      <c r="B29" s="676"/>
      <c r="C29" s="676"/>
      <c r="D29" s="677"/>
      <c r="E29" s="676"/>
      <c r="F29" s="676"/>
      <c r="G29" s="678">
        <f>'График амотриз'!K23*1000</f>
        <v>60930.992736077482</v>
      </c>
      <c r="H29" s="678">
        <f>'График амотриз'!N23*1000</f>
        <v>243723.97094430993</v>
      </c>
      <c r="I29" s="678">
        <f>'График амотриз'!Q23*1000</f>
        <v>243723.97094430993</v>
      </c>
      <c r="J29" s="678">
        <f>'График амотриз'!T23*1000</f>
        <v>243723.97094430993</v>
      </c>
      <c r="K29" s="678">
        <f>'График амотриз'!W23*1000</f>
        <v>243723.97094430993</v>
      </c>
      <c r="L29" s="678">
        <f>'График амотриз'!Z23*1000</f>
        <v>243723.97094430993</v>
      </c>
      <c r="M29" s="678">
        <f>'График амотриз'!AC23*1000</f>
        <v>243723.97094430993</v>
      </c>
      <c r="N29" s="678">
        <f>'График амотриз'!AF23*1000</f>
        <v>182792.97820823247</v>
      </c>
      <c r="O29" s="874"/>
      <c r="P29" s="878"/>
    </row>
    <row r="30" spans="1:17" ht="31.5" x14ac:dyDescent="0.25">
      <c r="A30" s="689" t="str">
        <f>'График амотриз'!B24</f>
        <v>Замена двух стальных котлов на новые</v>
      </c>
      <c r="B30" s="676"/>
      <c r="C30" s="676"/>
      <c r="D30" s="677"/>
      <c r="E30" s="676"/>
      <c r="F30" s="676"/>
      <c r="G30" s="678"/>
      <c r="H30" s="678"/>
      <c r="I30" s="678"/>
      <c r="J30" s="678"/>
      <c r="K30" s="678">
        <f>'График амотриз'!W24*1000</f>
        <v>139242.73607748182</v>
      </c>
      <c r="L30" s="678">
        <f>'График амотриз'!Z24*1000</f>
        <v>556970.94430992729</v>
      </c>
      <c r="M30" s="678">
        <f>'График амотриз'!AC24*1000</f>
        <v>556970.94430992729</v>
      </c>
      <c r="N30" s="678">
        <f>'График амотриз'!AF24*1000</f>
        <v>556970.94430992729</v>
      </c>
      <c r="O30" s="874">
        <f>'График амотриз'!AI24*1000</f>
        <v>556970.94430992729</v>
      </c>
      <c r="P30" s="878"/>
    </row>
    <row r="31" spans="1:17" ht="31.5" x14ac:dyDescent="0.25">
      <c r="A31" s="689" t="str">
        <f>'График амотриз'!B25</f>
        <v>Реконструкция несущих конструкций и ограждений здания котельной</v>
      </c>
      <c r="B31" s="676"/>
      <c r="C31" s="676"/>
      <c r="D31" s="677"/>
      <c r="E31" s="676"/>
      <c r="F31" s="676"/>
      <c r="G31" s="678"/>
      <c r="H31" s="678"/>
      <c r="I31" s="678">
        <f>'График амотриз'!Q25*1000</f>
        <v>89432.062146892655</v>
      </c>
      <c r="J31" s="678">
        <f>'График амотриз'!T25*1000</f>
        <v>357728.24858757062</v>
      </c>
      <c r="K31" s="678">
        <f>'График амотриз'!W25*1000</f>
        <v>357728.24858757062</v>
      </c>
      <c r="L31" s="678">
        <f>'График амотриз'!Z25*1000</f>
        <v>357728.24858757062</v>
      </c>
      <c r="M31" s="678">
        <f>'График амотриз'!AC25*1000</f>
        <v>357728.24858757062</v>
      </c>
      <c r="N31" s="678">
        <f>'График амотриз'!AF25*1000</f>
        <v>357728.24858757062</v>
      </c>
      <c r="O31" s="874">
        <f>'График амотриз'!AI25*1000</f>
        <v>357728.24858757062</v>
      </c>
      <c r="P31" s="878"/>
    </row>
    <row r="32" spans="1:17" ht="31.5" x14ac:dyDescent="0.25">
      <c r="A32" s="689" t="str">
        <f>'График амотриз'!B26</f>
        <v>Замена одного стального водогрейного котла на новый</v>
      </c>
      <c r="B32" s="676"/>
      <c r="C32" s="676"/>
      <c r="D32" s="677"/>
      <c r="E32" s="676"/>
      <c r="F32" s="676"/>
      <c r="G32" s="678"/>
      <c r="H32" s="678"/>
      <c r="I32" s="678"/>
      <c r="J32" s="678"/>
      <c r="K32" s="678"/>
      <c r="L32" s="678"/>
      <c r="M32" s="678">
        <f>'График амотриз'!AC26*1000</f>
        <v>84974.576271186437</v>
      </c>
      <c r="N32" s="678">
        <f>'График амотриз'!AF26*1000</f>
        <v>339898.30508474575</v>
      </c>
      <c r="O32" s="874">
        <f>'График амотриз'!AI26*1000</f>
        <v>339898.30508474575</v>
      </c>
      <c r="P32" s="878"/>
    </row>
    <row r="33" spans="1:16" ht="31.5" x14ac:dyDescent="0.25">
      <c r="A33" s="689" t="str">
        <f>'График амотриз'!B27</f>
        <v>Замена стального ствола дымовой трубы и газоходов на новые</v>
      </c>
      <c r="B33" s="676"/>
      <c r="C33" s="676"/>
      <c r="D33" s="677"/>
      <c r="E33" s="676"/>
      <c r="F33" s="676"/>
      <c r="G33" s="678"/>
      <c r="H33" s="678"/>
      <c r="I33" s="678"/>
      <c r="J33" s="678"/>
      <c r="K33" s="678"/>
      <c r="L33" s="678"/>
      <c r="M33" s="678"/>
      <c r="N33" s="678">
        <f>'График амотриз'!AF27*1000</f>
        <v>60111.652542372896</v>
      </c>
      <c r="O33" s="874">
        <f>'График амотриз'!AI27*1000</f>
        <v>240446.61016949159</v>
      </c>
      <c r="P33" s="878"/>
    </row>
    <row r="36" spans="1:16" x14ac:dyDescent="0.25">
      <c r="A36" s="291" t="s">
        <v>635</v>
      </c>
      <c r="C36" s="2"/>
      <c r="G36" s="2" t="s">
        <v>955</v>
      </c>
    </row>
  </sheetData>
  <mergeCells count="11">
    <mergeCell ref="A2:I2"/>
    <mergeCell ref="A11:E11"/>
    <mergeCell ref="A12:E12"/>
    <mergeCell ref="A26:E26"/>
    <mergeCell ref="A5:E5"/>
    <mergeCell ref="B6:D6"/>
    <mergeCell ref="A7:E7"/>
    <mergeCell ref="A8:A9"/>
    <mergeCell ref="B8:D8"/>
    <mergeCell ref="G8:O8"/>
    <mergeCell ref="G5:O7"/>
  </mergeCells>
  <pageMargins left="0.19685039370078741" right="0.19685039370078741" top="0.27559055118110237" bottom="0.23622047244094491" header="0.19685039370078741" footer="0.19685039370078741"/>
  <pageSetup paperSize="9" scale="81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A8" sqref="A8"/>
    </sheetView>
  </sheetViews>
  <sheetFormatPr defaultColWidth="5.75" defaultRowHeight="12.75" x14ac:dyDescent="0.2"/>
  <cols>
    <col min="1" max="1" width="5.75" style="436"/>
    <col min="2" max="2" width="21.5" style="436" bestFit="1" customWidth="1"/>
    <col min="3" max="3" width="6.625" style="436" customWidth="1"/>
    <col min="4" max="16384" width="5.75" style="436"/>
  </cols>
  <sheetData>
    <row r="1" spans="1:12" s="722" customFormat="1" ht="12" x14ac:dyDescent="0.2"/>
    <row r="2" spans="1:12" s="723" customFormat="1" ht="12" x14ac:dyDescent="0.2"/>
    <row r="3" spans="1:12" s="723" customFormat="1" ht="12" x14ac:dyDescent="0.2"/>
    <row r="4" spans="1:12" s="722" customFormat="1" ht="31.15" customHeight="1" x14ac:dyDescent="0.2">
      <c r="A4" s="949" t="s">
        <v>1054</v>
      </c>
      <c r="B4" s="949"/>
      <c r="C4" s="949"/>
      <c r="D4" s="949"/>
      <c r="E4" s="949"/>
      <c r="F4" s="949"/>
      <c r="G4" s="949"/>
      <c r="H4" s="949"/>
      <c r="I4" s="949"/>
      <c r="J4" s="949"/>
      <c r="K4" s="949"/>
      <c r="L4" s="949"/>
    </row>
    <row r="5" spans="1:12" s="722" customFormat="1" ht="15" customHeight="1" x14ac:dyDescent="0.2">
      <c r="A5" s="950" t="s">
        <v>881</v>
      </c>
      <c r="B5" s="950"/>
      <c r="C5" s="950"/>
      <c r="D5" s="950"/>
      <c r="E5" s="950"/>
      <c r="F5" s="950"/>
      <c r="G5" s="950"/>
      <c r="H5" s="950"/>
      <c r="I5" s="950"/>
      <c r="J5" s="950"/>
      <c r="K5" s="950"/>
      <c r="L5" s="950"/>
    </row>
    <row r="6" spans="1:12" x14ac:dyDescent="0.2">
      <c r="A6" s="951" t="s">
        <v>1055</v>
      </c>
      <c r="B6" s="951"/>
      <c r="C6" s="951"/>
      <c r="D6" s="951"/>
      <c r="E6" s="951"/>
      <c r="F6" s="951"/>
      <c r="G6" s="951"/>
      <c r="H6" s="951"/>
      <c r="I6" s="951"/>
      <c r="J6" s="951"/>
      <c r="K6" s="951"/>
      <c r="L6" s="951"/>
    </row>
    <row r="7" spans="1:12" s="722" customFormat="1" ht="12" x14ac:dyDescent="0.2">
      <c r="G7" s="724"/>
    </row>
    <row r="8" spans="1:12" s="723" customFormat="1" x14ac:dyDescent="0.2">
      <c r="A8" s="709" t="s">
        <v>849</v>
      </c>
    </row>
    <row r="9" spans="1:12" s="725" customFormat="1" ht="10.5" x14ac:dyDescent="0.2">
      <c r="A9" s="952" t="s">
        <v>702</v>
      </c>
      <c r="B9" s="953" t="s">
        <v>454</v>
      </c>
      <c r="C9" s="953" t="s">
        <v>1056</v>
      </c>
      <c r="D9" s="953"/>
      <c r="E9" s="953"/>
      <c r="F9" s="953"/>
      <c r="G9" s="953" t="s">
        <v>1057</v>
      </c>
      <c r="H9" s="953"/>
      <c r="I9" s="953"/>
      <c r="J9" s="953"/>
      <c r="K9" s="953"/>
      <c r="L9" s="953"/>
    </row>
    <row r="10" spans="1:12" s="725" customFormat="1" ht="22.15" customHeight="1" x14ac:dyDescent="0.2">
      <c r="A10" s="952"/>
      <c r="B10" s="953"/>
      <c r="C10" s="954" t="s">
        <v>1058</v>
      </c>
      <c r="D10" s="954"/>
      <c r="E10" s="954" t="s">
        <v>1059</v>
      </c>
      <c r="F10" s="954"/>
      <c r="G10" s="954" t="s">
        <v>1060</v>
      </c>
      <c r="H10" s="954"/>
      <c r="I10" s="954" t="s">
        <v>1061</v>
      </c>
      <c r="J10" s="954"/>
      <c r="K10" s="954" t="s">
        <v>1062</v>
      </c>
      <c r="L10" s="954"/>
    </row>
    <row r="11" spans="1:12" s="727" customFormat="1" ht="12.6" customHeight="1" x14ac:dyDescent="0.2">
      <c r="A11" s="952"/>
      <c r="B11" s="953"/>
      <c r="C11" s="726" t="s">
        <v>439</v>
      </c>
      <c r="D11" s="726" t="s">
        <v>440</v>
      </c>
      <c r="E11" s="726" t="s">
        <v>439</v>
      </c>
      <c r="F11" s="726" t="s">
        <v>440</v>
      </c>
      <c r="G11" s="726" t="s">
        <v>439</v>
      </c>
      <c r="H11" s="726" t="s">
        <v>440</v>
      </c>
      <c r="I11" s="726" t="s">
        <v>439</v>
      </c>
      <c r="J11" s="726" t="s">
        <v>440</v>
      </c>
      <c r="K11" s="726" t="s">
        <v>439</v>
      </c>
      <c r="L11" s="726" t="s">
        <v>440</v>
      </c>
    </row>
    <row r="12" spans="1:12" s="727" customFormat="1" ht="10.5" x14ac:dyDescent="0.2">
      <c r="A12" s="728">
        <v>1</v>
      </c>
      <c r="B12" s="728">
        <v>2</v>
      </c>
      <c r="C12" s="728">
        <v>3</v>
      </c>
      <c r="D12" s="728">
        <v>4</v>
      </c>
      <c r="E12" s="728">
        <v>5</v>
      </c>
      <c r="F12" s="728">
        <v>6</v>
      </c>
      <c r="G12" s="728">
        <v>7</v>
      </c>
      <c r="H12" s="728">
        <v>8</v>
      </c>
      <c r="I12" s="728">
        <v>9</v>
      </c>
      <c r="J12" s="728">
        <v>10</v>
      </c>
      <c r="K12" s="728">
        <v>11</v>
      </c>
      <c r="L12" s="728">
        <v>12</v>
      </c>
    </row>
    <row r="13" spans="1:12" s="727" customFormat="1" ht="10.5" x14ac:dyDescent="0.2">
      <c r="A13" s="955" t="s">
        <v>1063</v>
      </c>
      <c r="B13" s="955"/>
      <c r="C13" s="955"/>
      <c r="D13" s="955"/>
      <c r="E13" s="955"/>
      <c r="F13" s="955"/>
      <c r="G13" s="955"/>
      <c r="H13" s="955"/>
      <c r="I13" s="955"/>
      <c r="J13" s="955"/>
      <c r="K13" s="955"/>
      <c r="L13" s="955"/>
    </row>
    <row r="14" spans="1:12" s="727" customFormat="1" ht="9.6" customHeight="1" x14ac:dyDescent="0.2">
      <c r="A14" s="729" t="s">
        <v>673</v>
      </c>
      <c r="B14" s="730" t="s">
        <v>1064</v>
      </c>
      <c r="C14" s="731"/>
      <c r="D14" s="731"/>
      <c r="E14" s="731"/>
      <c r="F14" s="731"/>
      <c r="G14" s="731"/>
      <c r="H14" s="731"/>
      <c r="I14" s="731"/>
      <c r="J14" s="731"/>
      <c r="K14" s="731"/>
      <c r="L14" s="731"/>
    </row>
    <row r="15" spans="1:12" s="727" customFormat="1" ht="10.5" x14ac:dyDescent="0.2">
      <c r="A15" s="955" t="s">
        <v>1065</v>
      </c>
      <c r="B15" s="955"/>
      <c r="C15" s="955"/>
      <c r="D15" s="955"/>
      <c r="E15" s="955"/>
      <c r="F15" s="955"/>
      <c r="G15" s="955"/>
      <c r="H15" s="955"/>
      <c r="I15" s="955"/>
      <c r="J15" s="955"/>
      <c r="K15" s="955"/>
      <c r="L15" s="955"/>
    </row>
    <row r="16" spans="1:12" s="727" customFormat="1" ht="9.6" customHeight="1" x14ac:dyDescent="0.2">
      <c r="A16" s="729" t="s">
        <v>687</v>
      </c>
      <c r="B16" s="730" t="s">
        <v>1066</v>
      </c>
      <c r="C16" s="731"/>
      <c r="D16" s="731"/>
      <c r="E16" s="731"/>
      <c r="F16" s="731"/>
      <c r="G16" s="731"/>
      <c r="H16" s="731"/>
      <c r="I16" s="731"/>
      <c r="J16" s="731"/>
      <c r="K16" s="731"/>
      <c r="L16" s="731"/>
    </row>
    <row r="17" spans="1:12" s="727" customFormat="1" ht="9.6" customHeight="1" x14ac:dyDescent="0.2">
      <c r="A17" s="729" t="s">
        <v>688</v>
      </c>
      <c r="B17" s="730" t="s">
        <v>1067</v>
      </c>
      <c r="C17" s="731"/>
      <c r="D17" s="731"/>
      <c r="E17" s="731"/>
      <c r="F17" s="731"/>
      <c r="G17" s="731"/>
      <c r="H17" s="731"/>
      <c r="I17" s="731"/>
      <c r="J17" s="731"/>
      <c r="K17" s="731"/>
      <c r="L17" s="731"/>
    </row>
    <row r="18" spans="1:12" s="727" customFormat="1" ht="9.6" customHeight="1" x14ac:dyDescent="0.2">
      <c r="A18" s="729" t="s">
        <v>689</v>
      </c>
      <c r="B18" s="730" t="s">
        <v>1068</v>
      </c>
      <c r="C18" s="731"/>
      <c r="D18" s="731"/>
      <c r="E18" s="731"/>
      <c r="F18" s="731"/>
      <c r="G18" s="731"/>
      <c r="H18" s="731"/>
      <c r="I18" s="731"/>
      <c r="J18" s="731"/>
      <c r="K18" s="731"/>
      <c r="L18" s="731"/>
    </row>
    <row r="19" spans="1:12" s="727" customFormat="1" ht="9.6" customHeight="1" x14ac:dyDescent="0.2">
      <c r="A19" s="729" t="s">
        <v>690</v>
      </c>
      <c r="B19" s="730" t="s">
        <v>1069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</row>
    <row r="21" spans="1:12" s="722" customFormat="1" ht="12" x14ac:dyDescent="0.2">
      <c r="D21" s="732"/>
      <c r="E21" s="956"/>
      <c r="F21" s="956"/>
    </row>
    <row r="22" spans="1:12" s="723" customFormat="1" ht="12" x14ac:dyDescent="0.2">
      <c r="A22" s="948" t="s">
        <v>1070</v>
      </c>
      <c r="B22" s="948"/>
      <c r="C22" s="948"/>
      <c r="D22" s="948"/>
      <c r="E22" s="948"/>
      <c r="F22" s="948"/>
      <c r="G22" s="948"/>
      <c r="H22" s="948"/>
      <c r="I22" s="948"/>
      <c r="J22" s="948"/>
      <c r="K22" s="948"/>
      <c r="L22" s="948"/>
    </row>
    <row r="23" spans="1:12" s="723" customFormat="1" ht="12" x14ac:dyDescent="0.2">
      <c r="C23" s="957" t="s">
        <v>942</v>
      </c>
      <c r="D23" s="957"/>
      <c r="E23" s="957"/>
      <c r="F23" s="957"/>
      <c r="G23" s="957"/>
      <c r="H23" s="957"/>
      <c r="I23" s="957"/>
      <c r="J23" s="733"/>
    </row>
    <row r="24" spans="1:12" s="723" customFormat="1" ht="12" x14ac:dyDescent="0.2">
      <c r="C24" s="734"/>
      <c r="D24" s="733"/>
      <c r="E24" s="958"/>
      <c r="F24" s="958"/>
      <c r="G24" s="958"/>
      <c r="H24" s="958"/>
      <c r="I24" s="958"/>
      <c r="J24" s="733"/>
    </row>
    <row r="25" spans="1:12" s="723" customFormat="1" ht="12" x14ac:dyDescent="0.2">
      <c r="C25" s="733"/>
      <c r="D25" s="733"/>
      <c r="E25" s="733"/>
      <c r="F25" s="733"/>
      <c r="G25" s="959"/>
      <c r="H25" s="959"/>
      <c r="I25" s="959"/>
      <c r="J25" s="733"/>
    </row>
    <row r="26" spans="1:12" s="723" customFormat="1" ht="12" x14ac:dyDescent="0.2">
      <c r="G26" s="958"/>
      <c r="H26" s="958"/>
      <c r="I26" s="958"/>
    </row>
  </sheetData>
  <mergeCells count="21">
    <mergeCell ref="C23:I23"/>
    <mergeCell ref="E24:F24"/>
    <mergeCell ref="G24:I24"/>
    <mergeCell ref="G25:I25"/>
    <mergeCell ref="G26:I26"/>
    <mergeCell ref="A22:L22"/>
    <mergeCell ref="A4:L4"/>
    <mergeCell ref="A5:L5"/>
    <mergeCell ref="A6:L6"/>
    <mergeCell ref="A9:A11"/>
    <mergeCell ref="B9:B11"/>
    <mergeCell ref="C9:F9"/>
    <mergeCell ref="G9:L9"/>
    <mergeCell ref="C10:D10"/>
    <mergeCell ref="E10:F10"/>
    <mergeCell ref="G10:H10"/>
    <mergeCell ref="I10:J10"/>
    <mergeCell ref="K10:L10"/>
    <mergeCell ref="A13:L13"/>
    <mergeCell ref="A15:L15"/>
    <mergeCell ref="E21:F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1"/>
  <sheetViews>
    <sheetView view="pageBreakPreview" zoomScale="130" zoomScaleNormal="100" zoomScaleSheetLayoutView="130" workbookViewId="0">
      <selection activeCell="B21" sqref="B21"/>
    </sheetView>
  </sheetViews>
  <sheetFormatPr defaultRowHeight="15.75" x14ac:dyDescent="0.25"/>
  <cols>
    <col min="1" max="1" width="6.25" customWidth="1"/>
    <col min="2" max="2" width="64.875" customWidth="1"/>
    <col min="3" max="3" width="14" customWidth="1"/>
  </cols>
  <sheetData>
    <row r="2" spans="1:3" x14ac:dyDescent="0.25">
      <c r="A2" s="907" t="s">
        <v>1275</v>
      </c>
      <c r="B2" s="907"/>
      <c r="C2" s="907"/>
    </row>
    <row r="4" spans="1:3" ht="31.5" x14ac:dyDescent="0.25">
      <c r="A4" s="852" t="s">
        <v>416</v>
      </c>
      <c r="B4" s="852" t="s">
        <v>558</v>
      </c>
      <c r="C4" s="852" t="s">
        <v>1274</v>
      </c>
    </row>
    <row r="5" spans="1:3" x14ac:dyDescent="0.25">
      <c r="A5" s="866" t="s">
        <v>494</v>
      </c>
      <c r="B5" s="865" t="s">
        <v>1251</v>
      </c>
      <c r="C5" s="864">
        <v>1</v>
      </c>
    </row>
    <row r="6" spans="1:3" x14ac:dyDescent="0.25">
      <c r="A6" s="864" t="s">
        <v>3</v>
      </c>
      <c r="B6" s="865" t="s">
        <v>1252</v>
      </c>
      <c r="C6" s="864">
        <v>3</v>
      </c>
    </row>
    <row r="7" spans="1:3" ht="63" x14ac:dyDescent="0.25">
      <c r="A7" s="864" t="s">
        <v>5</v>
      </c>
      <c r="B7" s="867" t="s">
        <v>1278</v>
      </c>
      <c r="C7" s="864">
        <v>1</v>
      </c>
    </row>
    <row r="8" spans="1:3" ht="78.75" x14ac:dyDescent="0.25">
      <c r="A8" s="864" t="s">
        <v>7</v>
      </c>
      <c r="B8" s="865" t="s">
        <v>1253</v>
      </c>
      <c r="C8" s="864">
        <v>1</v>
      </c>
    </row>
    <row r="9" spans="1:3" ht="78.75" x14ac:dyDescent="0.25">
      <c r="A9" s="864" t="s">
        <v>1254</v>
      </c>
      <c r="B9" s="865" t="s">
        <v>1255</v>
      </c>
      <c r="C9" s="864">
        <v>1</v>
      </c>
    </row>
    <row r="10" spans="1:3" ht="47.25" x14ac:dyDescent="0.25">
      <c r="A10" s="864" t="s">
        <v>1256</v>
      </c>
      <c r="B10" s="865" t="s">
        <v>1257</v>
      </c>
      <c r="C10" s="864">
        <v>1</v>
      </c>
    </row>
    <row r="11" spans="1:3" ht="47.25" x14ac:dyDescent="0.25">
      <c r="A11" s="864" t="s">
        <v>1258</v>
      </c>
      <c r="B11" s="865" t="s">
        <v>1259</v>
      </c>
      <c r="C11" s="864">
        <v>4</v>
      </c>
    </row>
    <row r="12" spans="1:3" x14ac:dyDescent="0.25">
      <c r="A12" s="864" t="s">
        <v>1260</v>
      </c>
      <c r="B12" s="868" t="s">
        <v>404</v>
      </c>
      <c r="C12" s="864">
        <v>2</v>
      </c>
    </row>
    <row r="13" spans="1:3" x14ac:dyDescent="0.25">
      <c r="A13" s="864" t="s">
        <v>1261</v>
      </c>
      <c r="B13" s="868" t="s">
        <v>858</v>
      </c>
      <c r="C13" s="864">
        <v>2</v>
      </c>
    </row>
    <row r="14" spans="1:3" x14ac:dyDescent="0.25">
      <c r="A14" s="869" t="s">
        <v>1262</v>
      </c>
      <c r="B14" s="870" t="s">
        <v>1263</v>
      </c>
      <c r="C14" s="869">
        <f>SUM(C15:C21)</f>
        <v>32</v>
      </c>
    </row>
    <row r="15" spans="1:3" ht="31.5" x14ac:dyDescent="0.25">
      <c r="A15" s="864" t="s">
        <v>1264</v>
      </c>
      <c r="B15" s="895" t="s">
        <v>1265</v>
      </c>
      <c r="C15" s="864">
        <v>5</v>
      </c>
    </row>
    <row r="16" spans="1:3" ht="47.25" x14ac:dyDescent="0.25">
      <c r="A16" s="864" t="s">
        <v>1266</v>
      </c>
      <c r="B16" s="895" t="s">
        <v>1279</v>
      </c>
      <c r="C16" s="864">
        <v>2</v>
      </c>
    </row>
    <row r="17" spans="1:3" ht="31.5" x14ac:dyDescent="0.25">
      <c r="A17" s="864" t="s">
        <v>1267</v>
      </c>
      <c r="B17" s="895" t="s">
        <v>1282</v>
      </c>
      <c r="C17" s="864">
        <v>5</v>
      </c>
    </row>
    <row r="18" spans="1:3" ht="31.5" x14ac:dyDescent="0.25">
      <c r="A18" s="864" t="s">
        <v>1268</v>
      </c>
      <c r="B18" s="895" t="s">
        <v>1283</v>
      </c>
      <c r="C18" s="864">
        <v>5</v>
      </c>
    </row>
    <row r="19" spans="1:3" ht="31.5" x14ac:dyDescent="0.25">
      <c r="A19" s="864" t="s">
        <v>1269</v>
      </c>
      <c r="B19" s="895" t="s">
        <v>1270</v>
      </c>
      <c r="C19" s="864">
        <v>5</v>
      </c>
    </row>
    <row r="20" spans="1:3" ht="31.5" x14ac:dyDescent="0.25">
      <c r="A20" s="864" t="s">
        <v>1271</v>
      </c>
      <c r="B20" s="895" t="s">
        <v>1272</v>
      </c>
      <c r="C20" s="864">
        <v>4</v>
      </c>
    </row>
    <row r="21" spans="1:3" ht="47.25" x14ac:dyDescent="0.25">
      <c r="A21" s="864" t="s">
        <v>1273</v>
      </c>
      <c r="B21" s="895" t="s">
        <v>1284</v>
      </c>
      <c r="C21" s="864">
        <v>6</v>
      </c>
    </row>
  </sheetData>
  <mergeCells count="1">
    <mergeCell ref="A2:C2"/>
  </mergeCells>
  <pageMargins left="0.70866141732283472" right="0.39370078740157483" top="0.43307086614173229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9"/>
  <sheetViews>
    <sheetView view="pageBreakPreview" zoomScale="110" zoomScaleNormal="100" zoomScaleSheetLayoutView="110" workbookViewId="0">
      <selection activeCell="A17" sqref="A17"/>
    </sheetView>
  </sheetViews>
  <sheetFormatPr defaultColWidth="25.625" defaultRowHeight="15" x14ac:dyDescent="0.25"/>
  <cols>
    <col min="1" max="1" width="47.125" style="440" customWidth="1"/>
    <col min="2" max="2" width="38.75" style="440" customWidth="1"/>
    <col min="3" max="16384" width="25.625" style="440"/>
  </cols>
  <sheetData>
    <row r="1" spans="1:2" ht="51.75" x14ac:dyDescent="0.25">
      <c r="B1" s="1248" t="s">
        <v>1290</v>
      </c>
    </row>
    <row r="3" spans="1:2" ht="60" x14ac:dyDescent="0.25">
      <c r="B3" s="1247" t="s">
        <v>1291</v>
      </c>
    </row>
    <row r="4" spans="1:2" x14ac:dyDescent="0.25">
      <c r="A4" s="960"/>
      <c r="B4" s="960"/>
    </row>
    <row r="5" spans="1:2" x14ac:dyDescent="0.25">
      <c r="A5" s="961" t="s">
        <v>1183</v>
      </c>
      <c r="B5" s="961"/>
    </row>
    <row r="6" spans="1:2" ht="41.45" customHeight="1" x14ac:dyDescent="0.25">
      <c r="A6" s="962" t="s">
        <v>1205</v>
      </c>
      <c r="B6" s="962"/>
    </row>
    <row r="7" spans="1:2" ht="45" x14ac:dyDescent="0.25">
      <c r="A7" s="821" t="s">
        <v>1184</v>
      </c>
      <c r="B7" s="821" t="s">
        <v>1185</v>
      </c>
    </row>
    <row r="8" spans="1:2" ht="30" x14ac:dyDescent="0.25">
      <c r="A8" s="821" t="s">
        <v>1186</v>
      </c>
      <c r="B8" s="821" t="s">
        <v>1187</v>
      </c>
    </row>
    <row r="9" spans="1:2" x14ac:dyDescent="0.25">
      <c r="A9" s="821" t="s">
        <v>1188</v>
      </c>
      <c r="B9" s="822" t="s">
        <v>1189</v>
      </c>
    </row>
    <row r="10" spans="1:2" ht="30" x14ac:dyDescent="0.25">
      <c r="A10" s="821" t="s">
        <v>1190</v>
      </c>
      <c r="B10" s="834" t="s">
        <v>1210</v>
      </c>
    </row>
    <row r="11" spans="1:2" ht="30" x14ac:dyDescent="0.25">
      <c r="A11" s="821" t="s">
        <v>1191</v>
      </c>
      <c r="B11" s="834" t="s">
        <v>1211</v>
      </c>
    </row>
    <row r="12" spans="1:2" ht="30" x14ac:dyDescent="0.25">
      <c r="A12" s="821" t="s">
        <v>1192</v>
      </c>
      <c r="B12" s="821" t="s">
        <v>1193</v>
      </c>
    </row>
    <row r="13" spans="1:2" ht="30" x14ac:dyDescent="0.25">
      <c r="A13" s="821" t="s">
        <v>1194</v>
      </c>
      <c r="B13" s="821" t="s">
        <v>1195</v>
      </c>
    </row>
    <row r="14" spans="1:2" ht="45" x14ac:dyDescent="0.25">
      <c r="A14" s="821" t="s">
        <v>1196</v>
      </c>
      <c r="B14" s="821" t="s">
        <v>1287</v>
      </c>
    </row>
    <row r="15" spans="1:2" x14ac:dyDescent="0.25">
      <c r="A15" s="821" t="s">
        <v>1197</v>
      </c>
      <c r="B15" s="906">
        <v>43034</v>
      </c>
    </row>
    <row r="16" spans="1:2" ht="30" x14ac:dyDescent="0.25">
      <c r="A16" s="821" t="s">
        <v>1198</v>
      </c>
      <c r="B16" s="821" t="s">
        <v>1199</v>
      </c>
    </row>
    <row r="17" spans="1:2" ht="45" x14ac:dyDescent="0.25">
      <c r="A17" s="821" t="s">
        <v>1200</v>
      </c>
      <c r="B17" s="821" t="s">
        <v>1206</v>
      </c>
    </row>
    <row r="18" spans="1:2" ht="30" x14ac:dyDescent="0.25">
      <c r="A18" s="821" t="s">
        <v>1201</v>
      </c>
      <c r="B18" s="824" t="s">
        <v>1207</v>
      </c>
    </row>
    <row r="19" spans="1:2" ht="30" x14ac:dyDescent="0.25">
      <c r="A19" s="821" t="s">
        <v>1202</v>
      </c>
      <c r="B19" s="824" t="s">
        <v>1208</v>
      </c>
    </row>
    <row r="20" spans="1:2" x14ac:dyDescent="0.25">
      <c r="A20" s="821" t="s">
        <v>1203</v>
      </c>
      <c r="B20" s="906">
        <v>43034</v>
      </c>
    </row>
    <row r="21" spans="1:2" ht="45" x14ac:dyDescent="0.25">
      <c r="A21" s="821" t="s">
        <v>1204</v>
      </c>
      <c r="B21" s="824" t="s">
        <v>1209</v>
      </c>
    </row>
    <row r="22" spans="1:2" x14ac:dyDescent="0.25">
      <c r="A22" s="821"/>
      <c r="B22" s="1249" t="s">
        <v>1292</v>
      </c>
    </row>
    <row r="23" spans="1:2" hidden="1" x14ac:dyDescent="0.25">
      <c r="A23" s="821"/>
      <c r="B23" s="823"/>
    </row>
    <row r="24" spans="1:2" hidden="1" x14ac:dyDescent="0.25">
      <c r="A24" s="960" t="s">
        <v>1249</v>
      </c>
      <c r="B24" s="960"/>
    </row>
    <row r="25" spans="1:2" hidden="1" x14ac:dyDescent="0.25">
      <c r="A25" s="960" t="s">
        <v>942</v>
      </c>
      <c r="B25" s="960"/>
    </row>
    <row r="26" spans="1:2" s="823" customFormat="1" x14ac:dyDescent="0.25">
      <c r="A26" s="824"/>
    </row>
    <row r="27" spans="1:2" s="823" customFormat="1" x14ac:dyDescent="0.25">
      <c r="A27" s="824"/>
    </row>
    <row r="28" spans="1:2" s="823" customFormat="1" x14ac:dyDescent="0.25">
      <c r="A28" s="824"/>
    </row>
    <row r="29" spans="1:2" s="823" customFormat="1" x14ac:dyDescent="0.25">
      <c r="A29" s="824"/>
    </row>
    <row r="30" spans="1:2" s="823" customFormat="1" x14ac:dyDescent="0.25">
      <c r="A30" s="824"/>
    </row>
    <row r="31" spans="1:2" s="823" customFormat="1" x14ac:dyDescent="0.25">
      <c r="A31" s="824"/>
    </row>
    <row r="32" spans="1:2" s="823" customFormat="1" x14ac:dyDescent="0.25">
      <c r="A32" s="824"/>
    </row>
    <row r="33" spans="1:1" s="823" customFormat="1" x14ac:dyDescent="0.25">
      <c r="A33" s="824"/>
    </row>
    <row r="34" spans="1:1" s="823" customFormat="1" x14ac:dyDescent="0.25">
      <c r="A34" s="824"/>
    </row>
    <row r="35" spans="1:1" s="823" customFormat="1" x14ac:dyDescent="0.25">
      <c r="A35" s="824"/>
    </row>
    <row r="36" spans="1:1" s="823" customFormat="1" x14ac:dyDescent="0.25">
      <c r="A36" s="824"/>
    </row>
    <row r="37" spans="1:1" s="823" customFormat="1" x14ac:dyDescent="0.25">
      <c r="A37" s="824"/>
    </row>
    <row r="38" spans="1:1" s="823" customFormat="1" x14ac:dyDescent="0.25">
      <c r="A38" s="824"/>
    </row>
    <row r="39" spans="1:1" s="823" customFormat="1" x14ac:dyDescent="0.25">
      <c r="A39" s="824"/>
    </row>
  </sheetData>
  <mergeCells count="5">
    <mergeCell ref="A4:B4"/>
    <mergeCell ref="A5:B5"/>
    <mergeCell ref="A6:B6"/>
    <mergeCell ref="A24:B24"/>
    <mergeCell ref="A25:B25"/>
  </mergeCells>
  <pageMargins left="0.70866141732283472" right="0.23622047244094491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6"/>
  <sheetViews>
    <sheetView view="pageBreakPreview" zoomScale="130" zoomScaleNormal="130" zoomScaleSheetLayoutView="130" workbookViewId="0">
      <selection activeCell="S3" sqref="S3:X4"/>
    </sheetView>
  </sheetViews>
  <sheetFormatPr defaultColWidth="0.75" defaultRowHeight="12.75" customHeight="1" x14ac:dyDescent="0.2"/>
  <cols>
    <col min="1" max="1" width="3.25" style="537" customWidth="1"/>
    <col min="2" max="2" width="12.125" style="537" customWidth="1"/>
    <col min="3" max="3" width="9.5" style="537" customWidth="1"/>
    <col min="4" max="4" width="8" style="537" customWidth="1"/>
    <col min="5" max="5" width="8.75" style="537" customWidth="1"/>
    <col min="6" max="6" width="3.625" style="537" customWidth="1"/>
    <col min="7" max="7" width="7.25" style="537" customWidth="1"/>
    <col min="8" max="8" width="7.125" style="537" customWidth="1"/>
    <col min="9" max="10" width="4.75" style="537" customWidth="1"/>
    <col min="11" max="11" width="5.5" style="537" bestFit="1" customWidth="1"/>
    <col min="12" max="12" width="5.375" style="537" customWidth="1"/>
    <col min="13" max="13" width="3.125" style="537" hidden="1" customWidth="1"/>
    <col min="14" max="16" width="4.875" style="537" bestFit="1" customWidth="1"/>
    <col min="17" max="17" width="3.125" style="537" bestFit="1" customWidth="1"/>
    <col min="18" max="18" width="4.875" style="537" bestFit="1" customWidth="1"/>
    <col min="19" max="19" width="3.125" style="537" bestFit="1" customWidth="1"/>
    <col min="20" max="21" width="4.875" style="537" bestFit="1" customWidth="1"/>
    <col min="22" max="22" width="3.125" style="537" bestFit="1" customWidth="1"/>
    <col min="23" max="23" width="6.25" style="537" customWidth="1"/>
    <col min="24" max="24" width="6.75" style="537" customWidth="1"/>
    <col min="25" max="25" width="5.125" style="537" bestFit="1" customWidth="1"/>
    <col min="26" max="27" width="4.875" style="537" bestFit="1" customWidth="1"/>
    <col min="28" max="28" width="3.125" style="537" bestFit="1" customWidth="1"/>
    <col min="29" max="30" width="5.125" style="537" customWidth="1"/>
    <col min="31" max="31" width="5.25" style="537" customWidth="1"/>
    <col min="32" max="32" width="5.125" style="537" customWidth="1"/>
    <col min="33" max="33" width="4.625" style="537" customWidth="1"/>
    <col min="34" max="34" width="5.125" style="537" customWidth="1"/>
    <col min="35" max="35" width="6.125" style="537" customWidth="1"/>
    <col min="36" max="36" width="7" style="537" hidden="1" customWidth="1"/>
    <col min="37" max="16384" width="0.75" style="537"/>
  </cols>
  <sheetData>
    <row r="1" spans="1:37" ht="51" customHeight="1" x14ac:dyDescent="0.2">
      <c r="S1" s="1243" t="s">
        <v>1294</v>
      </c>
      <c r="T1" s="1243"/>
      <c r="U1" s="1243"/>
      <c r="V1" s="1243"/>
      <c r="W1" s="1243"/>
      <c r="X1" s="1243"/>
    </row>
    <row r="3" spans="1:37" s="594" customFormat="1" ht="12" customHeight="1" x14ac:dyDescent="0.2">
      <c r="S3" s="1243" t="s">
        <v>1293</v>
      </c>
      <c r="T3" s="1243"/>
      <c r="U3" s="1243"/>
      <c r="V3" s="1243"/>
      <c r="W3" s="1243"/>
      <c r="X3" s="1243"/>
    </row>
    <row r="4" spans="1:37" s="595" customFormat="1" ht="39" customHeight="1" x14ac:dyDescent="0.2">
      <c r="S4" s="1243"/>
      <c r="T4" s="1243"/>
      <c r="U4" s="1243"/>
      <c r="V4" s="1243"/>
      <c r="W4" s="1243"/>
      <c r="X4" s="1243"/>
    </row>
    <row r="5" spans="1:37" s="596" customFormat="1" ht="15.6" customHeight="1" x14ac:dyDescent="0.25">
      <c r="A5" s="970" t="s">
        <v>880</v>
      </c>
      <c r="B5" s="970"/>
      <c r="C5" s="970"/>
      <c r="D5" s="970"/>
      <c r="E5" s="970"/>
      <c r="F5" s="970"/>
      <c r="G5" s="970"/>
      <c r="H5" s="970"/>
      <c r="I5" s="970"/>
      <c r="J5" s="970"/>
      <c r="K5" s="970"/>
      <c r="L5" s="970"/>
      <c r="M5" s="970"/>
      <c r="N5" s="970"/>
      <c r="O5" s="970"/>
      <c r="P5" s="970"/>
      <c r="Q5" s="970"/>
      <c r="R5" s="970"/>
      <c r="S5" s="970"/>
      <c r="T5" s="970"/>
      <c r="U5" s="970"/>
      <c r="V5" s="970"/>
      <c r="W5" s="970"/>
      <c r="X5" s="970"/>
    </row>
    <row r="6" spans="1:37" s="596" customFormat="1" ht="15.75" x14ac:dyDescent="0.25">
      <c r="A6" s="970" t="s">
        <v>881</v>
      </c>
      <c r="B6" s="970"/>
      <c r="C6" s="970"/>
      <c r="D6" s="970"/>
      <c r="E6" s="970"/>
      <c r="F6" s="970"/>
      <c r="G6" s="970"/>
      <c r="H6" s="970"/>
      <c r="I6" s="970"/>
      <c r="J6" s="970"/>
      <c r="K6" s="970"/>
      <c r="L6" s="970"/>
      <c r="M6" s="970"/>
      <c r="N6" s="970"/>
      <c r="O6" s="970"/>
      <c r="P6" s="970"/>
      <c r="Q6" s="970"/>
      <c r="R6" s="970"/>
      <c r="S6" s="970"/>
      <c r="T6" s="970"/>
      <c r="U6" s="970"/>
      <c r="V6" s="970"/>
      <c r="W6" s="970"/>
      <c r="X6" s="970"/>
    </row>
    <row r="7" spans="1:37" s="597" customFormat="1" ht="15.75" x14ac:dyDescent="0.2">
      <c r="C7" s="978" t="s">
        <v>1149</v>
      </c>
      <c r="D7" s="978"/>
      <c r="E7" s="978"/>
      <c r="F7" s="978"/>
      <c r="G7" s="978"/>
      <c r="H7" s="978"/>
      <c r="I7" s="978"/>
      <c r="J7" s="978"/>
      <c r="K7" s="978"/>
      <c r="L7" s="978"/>
      <c r="M7" s="978"/>
      <c r="N7" s="978"/>
      <c r="O7" s="978"/>
      <c r="P7" s="978"/>
      <c r="Q7" s="978"/>
      <c r="R7" s="978"/>
      <c r="S7" s="978"/>
      <c r="T7" s="978"/>
      <c r="U7" s="978"/>
      <c r="V7" s="978"/>
      <c r="W7" s="978"/>
      <c r="X7" s="978"/>
    </row>
    <row r="8" spans="1:37" s="596" customFormat="1" ht="4.9000000000000004" customHeight="1" x14ac:dyDescent="0.2">
      <c r="I8" s="971"/>
      <c r="J8" s="971"/>
    </row>
    <row r="9" spans="1:37" s="595" customFormat="1" ht="10.5" customHeight="1" x14ac:dyDescent="0.2">
      <c r="A9" s="709" t="s">
        <v>849</v>
      </c>
      <c r="B9" s="709"/>
      <c r="C9" s="537"/>
      <c r="D9" s="537"/>
      <c r="E9" s="537"/>
      <c r="F9" s="537"/>
    </row>
    <row r="10" spans="1:37" s="598" customFormat="1" ht="9" customHeight="1" x14ac:dyDescent="0.2">
      <c r="A10" s="937" t="s">
        <v>702</v>
      </c>
      <c r="B10" s="937" t="s">
        <v>882</v>
      </c>
      <c r="C10" s="937" t="s">
        <v>883</v>
      </c>
      <c r="D10" s="937" t="s">
        <v>884</v>
      </c>
      <c r="E10" s="969" t="s">
        <v>885</v>
      </c>
      <c r="F10" s="963"/>
      <c r="G10" s="963"/>
      <c r="H10" s="963"/>
      <c r="I10" s="976" t="s">
        <v>886</v>
      </c>
      <c r="J10" s="976" t="s">
        <v>887</v>
      </c>
      <c r="K10" s="963" t="s">
        <v>888</v>
      </c>
      <c r="L10" s="963"/>
      <c r="M10" s="963"/>
      <c r="N10" s="963"/>
      <c r="O10" s="963"/>
      <c r="P10" s="963"/>
      <c r="Q10" s="963"/>
      <c r="R10" s="963"/>
      <c r="S10" s="963"/>
      <c r="T10" s="963"/>
      <c r="U10" s="963"/>
      <c r="V10" s="963"/>
      <c r="W10" s="963"/>
      <c r="X10" s="963"/>
    </row>
    <row r="11" spans="1:37" s="598" customFormat="1" ht="9" customHeight="1" x14ac:dyDescent="0.2">
      <c r="A11" s="937"/>
      <c r="B11" s="937"/>
      <c r="C11" s="937"/>
      <c r="D11" s="972"/>
      <c r="E11" s="903" t="s">
        <v>558</v>
      </c>
      <c r="F11" s="982" t="s">
        <v>889</v>
      </c>
      <c r="G11" s="969" t="s">
        <v>890</v>
      </c>
      <c r="H11" s="969"/>
      <c r="I11" s="976"/>
      <c r="J11" s="976"/>
      <c r="K11" s="964" t="s">
        <v>284</v>
      </c>
      <c r="L11" s="938" t="s">
        <v>1108</v>
      </c>
      <c r="M11" s="979" t="s">
        <v>891</v>
      </c>
      <c r="N11" s="980"/>
      <c r="O11" s="980"/>
      <c r="P11" s="980"/>
      <c r="Q11" s="980"/>
      <c r="R11" s="980"/>
      <c r="S11" s="980"/>
      <c r="T11" s="980"/>
      <c r="U11" s="980"/>
      <c r="V11" s="981"/>
      <c r="W11" s="964" t="s">
        <v>892</v>
      </c>
      <c r="X11" s="964" t="s">
        <v>893</v>
      </c>
      <c r="Y11" s="987" t="s">
        <v>891</v>
      </c>
      <c r="Z11" s="988"/>
      <c r="AA11" s="988"/>
      <c r="AB11" s="989"/>
      <c r="AC11" s="987" t="s">
        <v>891</v>
      </c>
      <c r="AD11" s="988"/>
      <c r="AE11" s="988"/>
      <c r="AF11" s="988"/>
      <c r="AG11" s="988"/>
      <c r="AH11" s="988"/>
      <c r="AI11" s="963" t="s">
        <v>989</v>
      </c>
      <c r="AJ11" s="963"/>
      <c r="AK11" s="700"/>
    </row>
    <row r="12" spans="1:37" s="598" customFormat="1" ht="9" customHeight="1" x14ac:dyDescent="0.2">
      <c r="A12" s="937"/>
      <c r="B12" s="937"/>
      <c r="C12" s="937"/>
      <c r="D12" s="972"/>
      <c r="E12" s="699" t="s">
        <v>894</v>
      </c>
      <c r="F12" s="983"/>
      <c r="G12" s="903" t="s">
        <v>895</v>
      </c>
      <c r="H12" s="903" t="s">
        <v>896</v>
      </c>
      <c r="I12" s="977"/>
      <c r="J12" s="976"/>
      <c r="K12" s="965"/>
      <c r="L12" s="938"/>
      <c r="M12" s="967" t="s">
        <v>899</v>
      </c>
      <c r="N12" s="967" t="s">
        <v>900</v>
      </c>
      <c r="O12" s="967" t="s">
        <v>901</v>
      </c>
      <c r="P12" s="967" t="s">
        <v>902</v>
      </c>
      <c r="Q12" s="967" t="s">
        <v>903</v>
      </c>
      <c r="R12" s="967" t="s">
        <v>904</v>
      </c>
      <c r="S12" s="967" t="s">
        <v>905</v>
      </c>
      <c r="T12" s="967" t="s">
        <v>906</v>
      </c>
      <c r="U12" s="967" t="s">
        <v>907</v>
      </c>
      <c r="V12" s="967" t="s">
        <v>1109</v>
      </c>
      <c r="W12" s="965"/>
      <c r="X12" s="965"/>
      <c r="Y12" s="967" t="s">
        <v>899</v>
      </c>
      <c r="Z12" s="967" t="s">
        <v>900</v>
      </c>
      <c r="AA12" s="967" t="s">
        <v>901</v>
      </c>
      <c r="AB12" s="967" t="s">
        <v>902</v>
      </c>
      <c r="AC12" s="967" t="s">
        <v>903</v>
      </c>
      <c r="AD12" s="967" t="s">
        <v>904</v>
      </c>
      <c r="AE12" s="967" t="s">
        <v>905</v>
      </c>
      <c r="AF12" s="967" t="s">
        <v>906</v>
      </c>
      <c r="AG12" s="967" t="s">
        <v>907</v>
      </c>
      <c r="AH12" s="967" t="s">
        <v>1109</v>
      </c>
      <c r="AI12" s="990" t="s">
        <v>1110</v>
      </c>
      <c r="AJ12" s="985" t="s">
        <v>990</v>
      </c>
    </row>
    <row r="13" spans="1:37" s="598" customFormat="1" ht="9" customHeight="1" x14ac:dyDescent="0.2">
      <c r="A13" s="937"/>
      <c r="B13" s="937"/>
      <c r="C13" s="937"/>
      <c r="D13" s="972"/>
      <c r="E13" s="699" t="s">
        <v>908</v>
      </c>
      <c r="F13" s="983"/>
      <c r="G13" s="699" t="s">
        <v>909</v>
      </c>
      <c r="H13" s="699" t="s">
        <v>909</v>
      </c>
      <c r="I13" s="977"/>
      <c r="J13" s="976"/>
      <c r="K13" s="965"/>
      <c r="L13" s="938"/>
      <c r="M13" s="968"/>
      <c r="N13" s="968"/>
      <c r="O13" s="968"/>
      <c r="P13" s="968"/>
      <c r="Q13" s="968"/>
      <c r="R13" s="968"/>
      <c r="S13" s="968"/>
      <c r="T13" s="968"/>
      <c r="U13" s="968"/>
      <c r="V13" s="968"/>
      <c r="W13" s="965"/>
      <c r="X13" s="965"/>
      <c r="Y13" s="968"/>
      <c r="Z13" s="968"/>
      <c r="AA13" s="968"/>
      <c r="AB13" s="968"/>
      <c r="AC13" s="968"/>
      <c r="AD13" s="968"/>
      <c r="AE13" s="968"/>
      <c r="AF13" s="968"/>
      <c r="AG13" s="968"/>
      <c r="AH13" s="968"/>
      <c r="AI13" s="991"/>
      <c r="AJ13" s="986"/>
    </row>
    <row r="14" spans="1:37" s="598" customFormat="1" ht="9" customHeight="1" x14ac:dyDescent="0.2">
      <c r="A14" s="937"/>
      <c r="B14" s="937"/>
      <c r="C14" s="937"/>
      <c r="D14" s="972"/>
      <c r="E14" s="699" t="s">
        <v>910</v>
      </c>
      <c r="F14" s="983"/>
      <c r="G14" s="699" t="s">
        <v>911</v>
      </c>
      <c r="H14" s="699" t="s">
        <v>911</v>
      </c>
      <c r="I14" s="977"/>
      <c r="J14" s="976"/>
      <c r="K14" s="965"/>
      <c r="L14" s="938"/>
      <c r="M14" s="968"/>
      <c r="N14" s="968"/>
      <c r="O14" s="968"/>
      <c r="P14" s="968"/>
      <c r="Q14" s="968"/>
      <c r="R14" s="968"/>
      <c r="S14" s="968"/>
      <c r="T14" s="968"/>
      <c r="U14" s="968"/>
      <c r="V14" s="968"/>
      <c r="W14" s="965"/>
      <c r="X14" s="965"/>
      <c r="Y14" s="968"/>
      <c r="Z14" s="968"/>
      <c r="AA14" s="968"/>
      <c r="AB14" s="968"/>
      <c r="AC14" s="968"/>
      <c r="AD14" s="968"/>
      <c r="AE14" s="968"/>
      <c r="AF14" s="968"/>
      <c r="AG14" s="968"/>
      <c r="AH14" s="968"/>
      <c r="AI14" s="991"/>
      <c r="AJ14" s="986"/>
    </row>
    <row r="15" spans="1:37" s="598" customFormat="1" ht="9" customHeight="1" x14ac:dyDescent="0.2">
      <c r="A15" s="937"/>
      <c r="B15" s="937"/>
      <c r="C15" s="937"/>
      <c r="D15" s="972"/>
      <c r="E15" s="697" t="s">
        <v>912</v>
      </c>
      <c r="F15" s="984"/>
      <c r="G15" s="697"/>
      <c r="H15" s="697"/>
      <c r="I15" s="977"/>
      <c r="J15" s="976"/>
      <c r="K15" s="966"/>
      <c r="L15" s="938"/>
      <c r="M15" s="968"/>
      <c r="N15" s="968"/>
      <c r="O15" s="968"/>
      <c r="P15" s="968"/>
      <c r="Q15" s="968"/>
      <c r="R15" s="968"/>
      <c r="S15" s="968"/>
      <c r="T15" s="968"/>
      <c r="U15" s="968"/>
      <c r="V15" s="968"/>
      <c r="W15" s="966"/>
      <c r="X15" s="966"/>
      <c r="Y15" s="968"/>
      <c r="Z15" s="968"/>
      <c r="AA15" s="968"/>
      <c r="AB15" s="968"/>
      <c r="AC15" s="968"/>
      <c r="AD15" s="968"/>
      <c r="AE15" s="968"/>
      <c r="AF15" s="968"/>
      <c r="AG15" s="968"/>
      <c r="AH15" s="968"/>
      <c r="AI15" s="992"/>
      <c r="AJ15" s="986"/>
    </row>
    <row r="16" spans="1:37" s="599" customFormat="1" ht="9" customHeight="1" x14ac:dyDescent="0.2">
      <c r="A16" s="607">
        <v>1</v>
      </c>
      <c r="B16" s="607">
        <v>2</v>
      </c>
      <c r="C16" s="607">
        <v>3</v>
      </c>
      <c r="D16" s="607">
        <v>4</v>
      </c>
      <c r="E16" s="698">
        <v>5</v>
      </c>
      <c r="F16" s="607">
        <v>6</v>
      </c>
      <c r="G16" s="607">
        <v>7</v>
      </c>
      <c r="H16" s="607">
        <v>8</v>
      </c>
      <c r="I16" s="607">
        <v>9</v>
      </c>
      <c r="J16" s="607">
        <v>10</v>
      </c>
      <c r="K16" s="607">
        <v>11</v>
      </c>
      <c r="L16" s="607">
        <v>12</v>
      </c>
      <c r="M16" s="607">
        <v>13</v>
      </c>
      <c r="N16" s="607">
        <v>14</v>
      </c>
      <c r="O16" s="607">
        <v>15</v>
      </c>
      <c r="P16" s="607">
        <v>15</v>
      </c>
      <c r="Q16" s="607">
        <v>15</v>
      </c>
      <c r="R16" s="607">
        <v>15</v>
      </c>
      <c r="S16" s="607">
        <v>15</v>
      </c>
      <c r="T16" s="607">
        <v>15</v>
      </c>
      <c r="U16" s="607">
        <v>15</v>
      </c>
      <c r="V16" s="607">
        <v>15</v>
      </c>
      <c r="W16" s="607">
        <v>17</v>
      </c>
      <c r="X16" s="607">
        <v>18</v>
      </c>
      <c r="Y16" s="659"/>
      <c r="Z16" s="659"/>
      <c r="AA16" s="659"/>
      <c r="AB16" s="659"/>
      <c r="AC16" s="659"/>
      <c r="AD16" s="659"/>
      <c r="AE16" s="659"/>
      <c r="AF16" s="659"/>
      <c r="AG16" s="659"/>
      <c r="AH16" s="659"/>
      <c r="AI16" s="659"/>
      <c r="AJ16" s="659"/>
    </row>
    <row r="17" spans="1:36" s="598" customFormat="1" ht="9" hidden="1" customHeight="1" x14ac:dyDescent="0.2">
      <c r="A17" s="941" t="s">
        <v>913</v>
      </c>
      <c r="B17" s="941"/>
      <c r="C17" s="941"/>
      <c r="D17" s="941"/>
      <c r="E17" s="941"/>
      <c r="F17" s="941"/>
      <c r="G17" s="941"/>
      <c r="H17" s="941"/>
      <c r="I17" s="941"/>
      <c r="J17" s="941"/>
      <c r="K17" s="941"/>
      <c r="L17" s="941"/>
      <c r="M17" s="941"/>
      <c r="N17" s="941"/>
      <c r="O17" s="941"/>
      <c r="P17" s="941"/>
      <c r="Q17" s="941"/>
      <c r="R17" s="941"/>
      <c r="S17" s="941"/>
      <c r="T17" s="941"/>
      <c r="U17" s="941"/>
      <c r="V17" s="941"/>
      <c r="W17" s="941"/>
      <c r="X17" s="941"/>
      <c r="Y17" s="660"/>
      <c r="Z17" s="660"/>
      <c r="AA17" s="660"/>
      <c r="AB17" s="660"/>
      <c r="AC17" s="660"/>
      <c r="AD17" s="660"/>
      <c r="AE17" s="660"/>
      <c r="AF17" s="660"/>
      <c r="AG17" s="660"/>
      <c r="AH17" s="660"/>
      <c r="AI17" s="660"/>
      <c r="AJ17" s="660"/>
    </row>
    <row r="18" spans="1:36" s="599" customFormat="1" ht="9" hidden="1" customHeight="1" x14ac:dyDescent="0.2">
      <c r="A18" s="942" t="s">
        <v>914</v>
      </c>
      <c r="B18" s="942"/>
      <c r="C18" s="942"/>
      <c r="D18" s="942"/>
      <c r="E18" s="942"/>
      <c r="F18" s="942"/>
      <c r="G18" s="942"/>
      <c r="H18" s="942"/>
      <c r="I18" s="942"/>
      <c r="J18" s="942"/>
      <c r="K18" s="942"/>
      <c r="L18" s="942"/>
      <c r="M18" s="942"/>
      <c r="N18" s="942"/>
      <c r="O18" s="942"/>
      <c r="P18" s="942"/>
      <c r="Q18" s="942"/>
      <c r="R18" s="942"/>
      <c r="S18" s="942"/>
      <c r="T18" s="942"/>
      <c r="U18" s="942"/>
      <c r="V18" s="942"/>
      <c r="W18" s="942"/>
      <c r="X18" s="942"/>
      <c r="Y18" s="659"/>
      <c r="Z18" s="659"/>
      <c r="AA18" s="659"/>
      <c r="AB18" s="659"/>
      <c r="AC18" s="659"/>
      <c r="AD18" s="659"/>
      <c r="AE18" s="659"/>
      <c r="AF18" s="659"/>
      <c r="AG18" s="659"/>
      <c r="AH18" s="659"/>
      <c r="AI18" s="659"/>
      <c r="AJ18" s="659"/>
    </row>
    <row r="19" spans="1:36" s="599" customFormat="1" ht="9" hidden="1" customHeight="1" x14ac:dyDescent="0.2">
      <c r="A19" s="902" t="s">
        <v>314</v>
      </c>
      <c r="B19" s="604"/>
      <c r="C19" s="604"/>
      <c r="D19" s="604"/>
      <c r="E19" s="604"/>
      <c r="F19" s="605"/>
      <c r="G19" s="605"/>
      <c r="H19" s="605"/>
      <c r="I19" s="606"/>
      <c r="J19" s="606"/>
      <c r="K19" s="605"/>
      <c r="L19" s="605"/>
      <c r="M19" s="605"/>
      <c r="N19" s="605"/>
      <c r="O19" s="605"/>
      <c r="P19" s="605"/>
      <c r="Q19" s="605"/>
      <c r="R19" s="605"/>
      <c r="S19" s="605"/>
      <c r="T19" s="605"/>
      <c r="U19" s="605"/>
      <c r="V19" s="605"/>
      <c r="W19" s="605"/>
      <c r="X19" s="605"/>
      <c r="Y19" s="659"/>
      <c r="Z19" s="659"/>
      <c r="AA19" s="659"/>
      <c r="AB19" s="659"/>
      <c r="AC19" s="659"/>
      <c r="AD19" s="659"/>
      <c r="AE19" s="659"/>
      <c r="AF19" s="659"/>
      <c r="AG19" s="659"/>
      <c r="AH19" s="659"/>
      <c r="AI19" s="659"/>
      <c r="AJ19" s="659"/>
    </row>
    <row r="20" spans="1:36" s="599" customFormat="1" ht="9" hidden="1" customHeight="1" x14ac:dyDescent="0.2">
      <c r="A20" s="942" t="s">
        <v>915</v>
      </c>
      <c r="B20" s="942"/>
      <c r="C20" s="942"/>
      <c r="D20" s="942"/>
      <c r="E20" s="942"/>
      <c r="F20" s="942"/>
      <c r="G20" s="942"/>
      <c r="H20" s="942"/>
      <c r="I20" s="942"/>
      <c r="J20" s="942"/>
      <c r="K20" s="942"/>
      <c r="L20" s="942"/>
      <c r="M20" s="942"/>
      <c r="N20" s="942"/>
      <c r="O20" s="942"/>
      <c r="P20" s="942"/>
      <c r="Q20" s="942"/>
      <c r="R20" s="942"/>
      <c r="S20" s="942"/>
      <c r="T20" s="942"/>
      <c r="U20" s="942"/>
      <c r="V20" s="942"/>
      <c r="W20" s="942"/>
      <c r="X20" s="942"/>
      <c r="Y20" s="659"/>
      <c r="Z20" s="659"/>
      <c r="AA20" s="659"/>
      <c r="AB20" s="659"/>
      <c r="AC20" s="659"/>
      <c r="AD20" s="659"/>
      <c r="AE20" s="659"/>
      <c r="AF20" s="659"/>
      <c r="AG20" s="659"/>
      <c r="AH20" s="659"/>
      <c r="AI20" s="659"/>
      <c r="AJ20" s="659"/>
    </row>
    <row r="21" spans="1:36" s="599" customFormat="1" ht="9" hidden="1" customHeight="1" x14ac:dyDescent="0.2">
      <c r="A21" s="902" t="s">
        <v>916</v>
      </c>
      <c r="B21" s="604"/>
      <c r="C21" s="604"/>
      <c r="D21" s="604"/>
      <c r="E21" s="604"/>
      <c r="F21" s="605"/>
      <c r="G21" s="605"/>
      <c r="H21" s="605"/>
      <c r="I21" s="606"/>
      <c r="J21" s="606"/>
      <c r="K21" s="605"/>
      <c r="L21" s="605"/>
      <c r="M21" s="605"/>
      <c r="N21" s="605"/>
      <c r="O21" s="605"/>
      <c r="P21" s="605"/>
      <c r="Q21" s="605"/>
      <c r="R21" s="605"/>
      <c r="S21" s="605"/>
      <c r="T21" s="605"/>
      <c r="U21" s="605"/>
      <c r="V21" s="605"/>
      <c r="W21" s="605"/>
      <c r="X21" s="605"/>
      <c r="Y21" s="659"/>
      <c r="Z21" s="659"/>
      <c r="AA21" s="659"/>
      <c r="AB21" s="659"/>
      <c r="AC21" s="659"/>
      <c r="AD21" s="659"/>
      <c r="AE21" s="659"/>
      <c r="AF21" s="659"/>
      <c r="AG21" s="659"/>
      <c r="AH21" s="659"/>
      <c r="AI21" s="659"/>
      <c r="AJ21" s="659"/>
    </row>
    <row r="22" spans="1:36" s="599" customFormat="1" ht="9" hidden="1" customHeight="1" x14ac:dyDescent="0.2">
      <c r="A22" s="942" t="s">
        <v>917</v>
      </c>
      <c r="B22" s="942"/>
      <c r="C22" s="942"/>
      <c r="D22" s="942"/>
      <c r="E22" s="942"/>
      <c r="F22" s="942"/>
      <c r="G22" s="942"/>
      <c r="H22" s="942"/>
      <c r="I22" s="942"/>
      <c r="J22" s="942"/>
      <c r="K22" s="942"/>
      <c r="L22" s="942"/>
      <c r="M22" s="942"/>
      <c r="N22" s="942"/>
      <c r="O22" s="942"/>
      <c r="P22" s="942"/>
      <c r="Q22" s="942"/>
      <c r="R22" s="942"/>
      <c r="S22" s="942"/>
      <c r="T22" s="942"/>
      <c r="U22" s="942"/>
      <c r="V22" s="942"/>
      <c r="W22" s="942"/>
      <c r="X22" s="942"/>
      <c r="Y22" s="659"/>
      <c r="Z22" s="659"/>
      <c r="AA22" s="659"/>
      <c r="AB22" s="659"/>
      <c r="AC22" s="659"/>
      <c r="AD22" s="659"/>
      <c r="AE22" s="659"/>
      <c r="AF22" s="659"/>
      <c r="AG22" s="659"/>
      <c r="AH22" s="659"/>
      <c r="AI22" s="659"/>
      <c r="AJ22" s="659"/>
    </row>
    <row r="23" spans="1:36" s="599" customFormat="1" ht="9" hidden="1" customHeight="1" x14ac:dyDescent="0.2">
      <c r="A23" s="902" t="s">
        <v>692</v>
      </c>
      <c r="B23" s="604"/>
      <c r="C23" s="604"/>
      <c r="D23" s="604"/>
      <c r="E23" s="604"/>
      <c r="F23" s="605"/>
      <c r="G23" s="605"/>
      <c r="H23" s="605"/>
      <c r="I23" s="606"/>
      <c r="J23" s="606"/>
      <c r="K23" s="605"/>
      <c r="L23" s="605"/>
      <c r="M23" s="605"/>
      <c r="N23" s="605"/>
      <c r="O23" s="605"/>
      <c r="P23" s="605"/>
      <c r="Q23" s="605"/>
      <c r="R23" s="605"/>
      <c r="S23" s="605"/>
      <c r="T23" s="605"/>
      <c r="U23" s="605"/>
      <c r="V23" s="605"/>
      <c r="W23" s="605"/>
      <c r="X23" s="605"/>
      <c r="Y23" s="659"/>
      <c r="Z23" s="659"/>
      <c r="AA23" s="659"/>
      <c r="AB23" s="659"/>
      <c r="AC23" s="659"/>
      <c r="AD23" s="659"/>
      <c r="AE23" s="659"/>
      <c r="AF23" s="659"/>
      <c r="AG23" s="659"/>
      <c r="AH23" s="659"/>
      <c r="AI23" s="659"/>
      <c r="AJ23" s="659"/>
    </row>
    <row r="24" spans="1:36" s="599" customFormat="1" ht="9" hidden="1" customHeight="1" x14ac:dyDescent="0.2">
      <c r="A24" s="902" t="s">
        <v>693</v>
      </c>
      <c r="B24" s="604"/>
      <c r="C24" s="604"/>
      <c r="D24" s="604"/>
      <c r="E24" s="604"/>
      <c r="F24" s="605"/>
      <c r="G24" s="605"/>
      <c r="H24" s="605"/>
      <c r="I24" s="606"/>
      <c r="J24" s="606"/>
      <c r="K24" s="605"/>
      <c r="L24" s="605"/>
      <c r="M24" s="605"/>
      <c r="N24" s="605"/>
      <c r="O24" s="605"/>
      <c r="P24" s="605"/>
      <c r="Q24" s="605"/>
      <c r="R24" s="605"/>
      <c r="S24" s="605"/>
      <c r="T24" s="605"/>
      <c r="U24" s="605"/>
      <c r="V24" s="605"/>
      <c r="W24" s="605"/>
      <c r="X24" s="605"/>
      <c r="Y24" s="659"/>
      <c r="Z24" s="659"/>
      <c r="AA24" s="659"/>
      <c r="AB24" s="659"/>
      <c r="AC24" s="659"/>
      <c r="AD24" s="659"/>
      <c r="AE24" s="659"/>
      <c r="AF24" s="659"/>
      <c r="AG24" s="659"/>
      <c r="AH24" s="659"/>
      <c r="AI24" s="659"/>
      <c r="AJ24" s="659"/>
    </row>
    <row r="25" spans="1:36" s="599" customFormat="1" ht="9" hidden="1" customHeight="1" x14ac:dyDescent="0.2">
      <c r="A25" s="942" t="s">
        <v>918</v>
      </c>
      <c r="B25" s="942"/>
      <c r="C25" s="942"/>
      <c r="D25" s="942"/>
      <c r="E25" s="942"/>
      <c r="F25" s="942"/>
      <c r="G25" s="942"/>
      <c r="H25" s="942"/>
      <c r="I25" s="942"/>
      <c r="J25" s="942"/>
      <c r="K25" s="942"/>
      <c r="L25" s="942"/>
      <c r="M25" s="942"/>
      <c r="N25" s="942"/>
      <c r="O25" s="942"/>
      <c r="P25" s="942"/>
      <c r="Q25" s="942"/>
      <c r="R25" s="942"/>
      <c r="S25" s="942"/>
      <c r="T25" s="942"/>
      <c r="U25" s="942"/>
      <c r="V25" s="942"/>
      <c r="W25" s="942"/>
      <c r="X25" s="942"/>
      <c r="Y25" s="659"/>
      <c r="Z25" s="659"/>
      <c r="AA25" s="659"/>
      <c r="AB25" s="659"/>
      <c r="AC25" s="659"/>
      <c r="AD25" s="659"/>
      <c r="AE25" s="659"/>
      <c r="AF25" s="659"/>
      <c r="AG25" s="659"/>
      <c r="AH25" s="659"/>
      <c r="AI25" s="659"/>
      <c r="AJ25" s="659"/>
    </row>
    <row r="26" spans="1:36" s="599" customFormat="1" ht="11.25" hidden="1" customHeight="1" x14ac:dyDescent="0.2">
      <c r="A26" s="942" t="s">
        <v>919</v>
      </c>
      <c r="B26" s="942"/>
      <c r="C26" s="942"/>
      <c r="D26" s="942"/>
      <c r="E26" s="942"/>
      <c r="F26" s="942"/>
      <c r="G26" s="942"/>
      <c r="H26" s="942"/>
      <c r="I26" s="942"/>
      <c r="J26" s="942"/>
      <c r="K26" s="605"/>
      <c r="L26" s="605"/>
      <c r="M26" s="605"/>
      <c r="N26" s="605"/>
      <c r="O26" s="605"/>
      <c r="P26" s="605"/>
      <c r="Q26" s="605"/>
      <c r="R26" s="605"/>
      <c r="S26" s="605"/>
      <c r="T26" s="605"/>
      <c r="U26" s="605"/>
      <c r="V26" s="605"/>
      <c r="W26" s="605"/>
      <c r="X26" s="605"/>
      <c r="Y26" s="659"/>
      <c r="Z26" s="659"/>
      <c r="AA26" s="659"/>
      <c r="AB26" s="659"/>
      <c r="AC26" s="659"/>
      <c r="AD26" s="659"/>
      <c r="AE26" s="659"/>
      <c r="AF26" s="659"/>
      <c r="AG26" s="659"/>
      <c r="AH26" s="659"/>
      <c r="AI26" s="659"/>
      <c r="AJ26" s="659"/>
    </row>
    <row r="27" spans="1:36" s="598" customFormat="1" ht="9" customHeight="1" x14ac:dyDescent="0.2">
      <c r="A27" s="941" t="s">
        <v>923</v>
      </c>
      <c r="B27" s="941"/>
      <c r="C27" s="941"/>
      <c r="D27" s="941"/>
      <c r="E27" s="941"/>
      <c r="F27" s="941"/>
      <c r="G27" s="941"/>
      <c r="H27" s="941"/>
      <c r="I27" s="941"/>
      <c r="J27" s="941"/>
      <c r="K27" s="941"/>
      <c r="L27" s="941"/>
      <c r="M27" s="941"/>
      <c r="N27" s="941"/>
      <c r="O27" s="941"/>
      <c r="P27" s="941"/>
      <c r="Q27" s="941"/>
      <c r="R27" s="941"/>
      <c r="S27" s="941"/>
      <c r="T27" s="941"/>
      <c r="U27" s="941"/>
      <c r="V27" s="941"/>
      <c r="W27" s="941"/>
      <c r="X27" s="941"/>
      <c r="Y27" s="660"/>
      <c r="Z27" s="660"/>
      <c r="AA27" s="660"/>
      <c r="AB27" s="660"/>
      <c r="AC27" s="660"/>
      <c r="AD27" s="660"/>
      <c r="AE27" s="660"/>
      <c r="AF27" s="660"/>
      <c r="AG27" s="660"/>
      <c r="AH27" s="660"/>
      <c r="AI27" s="660"/>
      <c r="AJ27" s="660"/>
    </row>
    <row r="28" spans="1:36" s="598" customFormat="1" ht="9" customHeight="1" x14ac:dyDescent="0.2">
      <c r="A28" s="942" t="s">
        <v>925</v>
      </c>
      <c r="B28" s="942"/>
      <c r="C28" s="942"/>
      <c r="D28" s="942"/>
      <c r="E28" s="942"/>
      <c r="F28" s="942"/>
      <c r="G28" s="942"/>
      <c r="H28" s="942"/>
      <c r="I28" s="942"/>
      <c r="J28" s="942"/>
      <c r="K28" s="942"/>
      <c r="L28" s="942"/>
      <c r="M28" s="942"/>
      <c r="N28" s="942"/>
      <c r="O28" s="942"/>
      <c r="P28" s="942"/>
      <c r="Q28" s="942"/>
      <c r="R28" s="942"/>
      <c r="S28" s="942"/>
      <c r="T28" s="942"/>
      <c r="U28" s="942"/>
      <c r="V28" s="942"/>
      <c r="W28" s="942"/>
      <c r="X28" s="942"/>
      <c r="Y28" s="660"/>
      <c r="Z28" s="660"/>
      <c r="AA28" s="660"/>
      <c r="AB28" s="660"/>
      <c r="AC28" s="660"/>
      <c r="AD28" s="660"/>
      <c r="AE28" s="660"/>
      <c r="AF28" s="660"/>
      <c r="AG28" s="660"/>
      <c r="AH28" s="660"/>
      <c r="AI28" s="660"/>
      <c r="AJ28" s="660"/>
    </row>
    <row r="29" spans="1:36" s="667" customFormat="1" ht="79.150000000000006" customHeight="1" x14ac:dyDescent="0.25">
      <c r="A29" s="662" t="s">
        <v>1036</v>
      </c>
      <c r="B29" s="661" t="s">
        <v>1111</v>
      </c>
      <c r="C29" s="661" t="s">
        <v>920</v>
      </c>
      <c r="D29" s="661" t="s">
        <v>921</v>
      </c>
      <c r="E29" s="661" t="s">
        <v>1112</v>
      </c>
      <c r="F29" s="663" t="s">
        <v>1113</v>
      </c>
      <c r="G29" s="663" t="s">
        <v>413</v>
      </c>
      <c r="H29" s="663">
        <v>1</v>
      </c>
      <c r="I29" s="664" t="s">
        <v>901</v>
      </c>
      <c r="J29" s="664" t="s">
        <v>901</v>
      </c>
      <c r="K29" s="1245">
        <f t="shared" ref="K29:K30" si="0">SUM(M29:S29)</f>
        <v>1795.17</v>
      </c>
      <c r="L29" s="665"/>
      <c r="M29" s="665"/>
      <c r="N29" s="665"/>
      <c r="O29" s="1246">
        <v>1795.17</v>
      </c>
      <c r="P29" s="665"/>
      <c r="Q29" s="665"/>
      <c r="R29" s="665"/>
      <c r="S29" s="665"/>
      <c r="T29" s="665"/>
      <c r="U29" s="665"/>
      <c r="V29" s="665"/>
      <c r="W29" s="665"/>
      <c r="X29" s="665">
        <v>0</v>
      </c>
      <c r="Y29" s="666">
        <f>M29/1.18</f>
        <v>0</v>
      </c>
      <c r="Z29" s="666">
        <f t="shared" ref="Z29:AH30" si="1">N29/1.18</f>
        <v>0</v>
      </c>
      <c r="AA29" s="666">
        <f t="shared" si="1"/>
        <v>1521.3305084745764</v>
      </c>
      <c r="AB29" s="666">
        <f t="shared" si="1"/>
        <v>0</v>
      </c>
      <c r="AC29" s="666">
        <f t="shared" si="1"/>
        <v>0</v>
      </c>
      <c r="AD29" s="666">
        <f t="shared" si="1"/>
        <v>0</v>
      </c>
      <c r="AE29" s="666">
        <f t="shared" si="1"/>
        <v>0</v>
      </c>
      <c r="AF29" s="666">
        <f t="shared" si="1"/>
        <v>0</v>
      </c>
      <c r="AG29" s="666">
        <f t="shared" si="1"/>
        <v>0</v>
      </c>
      <c r="AH29" s="666">
        <f t="shared" si="1"/>
        <v>0</v>
      </c>
      <c r="AI29" s="666">
        <f>SUM(Z29:AH29)</f>
        <v>1521.3305084745764</v>
      </c>
      <c r="AJ29" s="666">
        <f>SUM(Y29:AH29)</f>
        <v>1521.3305084745764</v>
      </c>
    </row>
    <row r="30" spans="1:36" s="667" customFormat="1" ht="66.599999999999994" customHeight="1" x14ac:dyDescent="0.25">
      <c r="A30" s="662" t="s">
        <v>1038</v>
      </c>
      <c r="B30" s="661" t="s">
        <v>1114</v>
      </c>
      <c r="C30" s="661" t="s">
        <v>920</v>
      </c>
      <c r="D30" s="661" t="s">
        <v>921</v>
      </c>
      <c r="E30" s="661" t="s">
        <v>1112</v>
      </c>
      <c r="F30" s="663" t="s">
        <v>1113</v>
      </c>
      <c r="G30" s="663" t="s">
        <v>413</v>
      </c>
      <c r="H30" s="663">
        <v>1</v>
      </c>
      <c r="I30" s="664" t="s">
        <v>901</v>
      </c>
      <c r="J30" s="664" t="s">
        <v>901</v>
      </c>
      <c r="K30" s="1245">
        <f t="shared" si="0"/>
        <v>1796.5199020013699</v>
      </c>
      <c r="L30" s="665"/>
      <c r="M30" s="665"/>
      <c r="N30" s="665"/>
      <c r="O30" s="1246">
        <f>1796519.90200137/1000</f>
        <v>1796.5199020013699</v>
      </c>
      <c r="P30" s="665"/>
      <c r="Q30" s="665"/>
      <c r="R30" s="665"/>
      <c r="S30" s="665"/>
      <c r="T30" s="665"/>
      <c r="U30" s="665"/>
      <c r="V30" s="665"/>
      <c r="W30" s="665"/>
      <c r="X30" s="665"/>
      <c r="Y30" s="666">
        <f>M30/1.18</f>
        <v>0</v>
      </c>
      <c r="Z30" s="666">
        <f t="shared" si="1"/>
        <v>0</v>
      </c>
      <c r="AA30" s="666">
        <f t="shared" si="1"/>
        <v>1522.4744932215001</v>
      </c>
      <c r="AB30" s="666">
        <f t="shared" si="1"/>
        <v>0</v>
      </c>
      <c r="AC30" s="666">
        <f t="shared" si="1"/>
        <v>0</v>
      </c>
      <c r="AD30" s="666">
        <f t="shared" si="1"/>
        <v>0</v>
      </c>
      <c r="AE30" s="666">
        <f t="shared" si="1"/>
        <v>0</v>
      </c>
      <c r="AF30" s="666">
        <f t="shared" si="1"/>
        <v>0</v>
      </c>
      <c r="AG30" s="666">
        <f t="shared" si="1"/>
        <v>0</v>
      </c>
      <c r="AH30" s="666">
        <f t="shared" si="1"/>
        <v>0</v>
      </c>
      <c r="AI30" s="666">
        <f>SUM(Z30:AH30)</f>
        <v>1522.4744932215001</v>
      </c>
      <c r="AJ30" s="666"/>
    </row>
    <row r="31" spans="1:36" s="599" customFormat="1" ht="10.5" hidden="1" customHeight="1" x14ac:dyDescent="0.2">
      <c r="A31" s="942" t="s">
        <v>922</v>
      </c>
      <c r="B31" s="942"/>
      <c r="C31" s="942"/>
      <c r="D31" s="942"/>
      <c r="E31" s="942"/>
      <c r="F31" s="942"/>
      <c r="G31" s="942"/>
      <c r="H31" s="942"/>
      <c r="I31" s="942"/>
      <c r="J31" s="942"/>
      <c r="K31" s="608">
        <f>K29+K30</f>
        <v>3591.6899020013698</v>
      </c>
      <c r="L31" s="608">
        <f t="shared" ref="L31:AI31" si="2">L29+L30</f>
        <v>0</v>
      </c>
      <c r="M31" s="608">
        <f t="shared" si="2"/>
        <v>0</v>
      </c>
      <c r="N31" s="608">
        <f t="shared" si="2"/>
        <v>0</v>
      </c>
      <c r="O31" s="608">
        <f t="shared" si="2"/>
        <v>3591.6899020013698</v>
      </c>
      <c r="P31" s="608">
        <f t="shared" si="2"/>
        <v>0</v>
      </c>
      <c r="Q31" s="608">
        <f t="shared" si="2"/>
        <v>0</v>
      </c>
      <c r="R31" s="608">
        <f t="shared" si="2"/>
        <v>0</v>
      </c>
      <c r="S31" s="608">
        <f t="shared" si="2"/>
        <v>0</v>
      </c>
      <c r="T31" s="608">
        <f t="shared" si="2"/>
        <v>0</v>
      </c>
      <c r="U31" s="608">
        <f t="shared" si="2"/>
        <v>0</v>
      </c>
      <c r="V31" s="608">
        <f t="shared" si="2"/>
        <v>0</v>
      </c>
      <c r="W31" s="608">
        <f t="shared" si="2"/>
        <v>0</v>
      </c>
      <c r="X31" s="608">
        <f t="shared" si="2"/>
        <v>0</v>
      </c>
      <c r="Y31" s="608">
        <f t="shared" si="2"/>
        <v>0</v>
      </c>
      <c r="Z31" s="608">
        <f t="shared" si="2"/>
        <v>0</v>
      </c>
      <c r="AA31" s="608">
        <f t="shared" si="2"/>
        <v>3043.8050016960765</v>
      </c>
      <c r="AB31" s="608">
        <f t="shared" si="2"/>
        <v>0</v>
      </c>
      <c r="AC31" s="608">
        <f t="shared" si="2"/>
        <v>0</v>
      </c>
      <c r="AD31" s="608">
        <f t="shared" si="2"/>
        <v>0</v>
      </c>
      <c r="AE31" s="608">
        <f t="shared" si="2"/>
        <v>0</v>
      </c>
      <c r="AF31" s="608">
        <f t="shared" si="2"/>
        <v>0</v>
      </c>
      <c r="AG31" s="608">
        <f t="shared" si="2"/>
        <v>0</v>
      </c>
      <c r="AH31" s="608">
        <f t="shared" si="2"/>
        <v>0</v>
      </c>
      <c r="AI31" s="608">
        <f t="shared" si="2"/>
        <v>3043.8050016960765</v>
      </c>
      <c r="AJ31" s="666">
        <f>SUM(Y31:AH31)</f>
        <v>3043.8050016960765</v>
      </c>
    </row>
    <row r="32" spans="1:36" s="598" customFormat="1" ht="9" hidden="1" customHeight="1" x14ac:dyDescent="0.2">
      <c r="A32" s="941" t="s">
        <v>923</v>
      </c>
      <c r="B32" s="941"/>
      <c r="C32" s="941"/>
      <c r="D32" s="941"/>
      <c r="E32" s="941"/>
      <c r="F32" s="941"/>
      <c r="G32" s="941"/>
      <c r="H32" s="941"/>
      <c r="I32" s="941"/>
      <c r="J32" s="941"/>
      <c r="K32" s="941"/>
      <c r="L32" s="941"/>
      <c r="M32" s="941"/>
      <c r="N32" s="941"/>
      <c r="O32" s="941"/>
      <c r="P32" s="941"/>
      <c r="Q32" s="941"/>
      <c r="R32" s="941"/>
      <c r="S32" s="941"/>
      <c r="T32" s="941"/>
      <c r="U32" s="941"/>
      <c r="V32" s="941"/>
      <c r="W32" s="941"/>
      <c r="X32" s="941"/>
      <c r="Y32" s="660"/>
      <c r="Z32" s="660"/>
      <c r="AA32" s="660"/>
      <c r="AB32" s="660"/>
      <c r="AC32" s="660"/>
      <c r="AD32" s="660"/>
      <c r="AE32" s="660"/>
      <c r="AF32" s="660"/>
      <c r="AG32" s="660"/>
      <c r="AH32" s="660"/>
      <c r="AI32" s="660"/>
      <c r="AJ32" s="660"/>
    </row>
    <row r="33" spans="1:36" s="599" customFormat="1" ht="9" hidden="1" customHeight="1" x14ac:dyDescent="0.2">
      <c r="A33" s="942" t="s">
        <v>924</v>
      </c>
      <c r="B33" s="942"/>
      <c r="C33" s="942"/>
      <c r="D33" s="942"/>
      <c r="E33" s="942"/>
      <c r="F33" s="942"/>
      <c r="G33" s="942"/>
      <c r="H33" s="942"/>
      <c r="I33" s="942"/>
      <c r="J33" s="942"/>
      <c r="K33" s="942"/>
      <c r="L33" s="942"/>
      <c r="M33" s="942"/>
      <c r="N33" s="942"/>
      <c r="O33" s="942"/>
      <c r="P33" s="942"/>
      <c r="Q33" s="942"/>
      <c r="R33" s="942"/>
      <c r="S33" s="942"/>
      <c r="T33" s="942"/>
      <c r="U33" s="942"/>
      <c r="V33" s="942"/>
      <c r="W33" s="942"/>
      <c r="X33" s="942"/>
      <c r="Y33" s="659"/>
      <c r="Z33" s="659"/>
      <c r="AA33" s="659"/>
      <c r="AB33" s="659"/>
      <c r="AC33" s="659"/>
      <c r="AD33" s="659"/>
      <c r="AE33" s="659"/>
      <c r="AF33" s="659"/>
      <c r="AG33" s="659"/>
      <c r="AH33" s="659"/>
      <c r="AI33" s="659"/>
      <c r="AJ33" s="659"/>
    </row>
    <row r="34" spans="1:36" s="667" customFormat="1" ht="58.15" hidden="1" customHeight="1" x14ac:dyDescent="0.25">
      <c r="A34" s="701"/>
      <c r="B34" s="661"/>
      <c r="C34" s="661"/>
      <c r="D34" s="661"/>
      <c r="E34" s="661"/>
      <c r="F34" s="663"/>
      <c r="G34" s="663"/>
      <c r="H34" s="663"/>
      <c r="I34" s="664"/>
      <c r="J34" s="664"/>
      <c r="K34" s="665"/>
      <c r="L34" s="665"/>
      <c r="M34" s="665"/>
      <c r="N34" s="665"/>
      <c r="O34" s="665"/>
      <c r="P34" s="665"/>
      <c r="Q34" s="665"/>
      <c r="R34" s="665"/>
      <c r="S34" s="665"/>
      <c r="T34" s="665"/>
      <c r="U34" s="665"/>
      <c r="V34" s="665"/>
      <c r="W34" s="665"/>
      <c r="X34" s="665">
        <v>0</v>
      </c>
      <c r="Y34" s="666">
        <f>M34/1.18</f>
        <v>0</v>
      </c>
      <c r="Z34" s="666">
        <f t="shared" ref="Z34:AH34" si="3">N34/1.18</f>
        <v>0</v>
      </c>
      <c r="AA34" s="666">
        <f t="shared" si="3"/>
        <v>0</v>
      </c>
      <c r="AB34" s="666">
        <f t="shared" si="3"/>
        <v>0</v>
      </c>
      <c r="AC34" s="666">
        <f t="shared" si="3"/>
        <v>0</v>
      </c>
      <c r="AD34" s="666">
        <f t="shared" si="3"/>
        <v>0</v>
      </c>
      <c r="AE34" s="666">
        <f t="shared" si="3"/>
        <v>0</v>
      </c>
      <c r="AF34" s="666">
        <f t="shared" si="3"/>
        <v>0</v>
      </c>
      <c r="AG34" s="666">
        <f t="shared" si="3"/>
        <v>0</v>
      </c>
      <c r="AH34" s="666">
        <f t="shared" si="3"/>
        <v>0</v>
      </c>
      <c r="AI34" s="666">
        <f>SUM(Y34:AB34)</f>
        <v>0</v>
      </c>
      <c r="AJ34" s="666">
        <f>SUM(Y34:AH34)</f>
        <v>0</v>
      </c>
    </row>
    <row r="35" spans="1:36" s="599" customFormat="1" ht="12.6" hidden="1" customHeight="1" x14ac:dyDescent="0.2">
      <c r="A35" s="942" t="s">
        <v>925</v>
      </c>
      <c r="B35" s="942"/>
      <c r="C35" s="942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2"/>
      <c r="U35" s="942"/>
      <c r="V35" s="942"/>
      <c r="W35" s="942"/>
      <c r="X35" s="942"/>
      <c r="Y35" s="659"/>
      <c r="Z35" s="659"/>
      <c r="AA35" s="659"/>
      <c r="AB35" s="659"/>
      <c r="AC35" s="659"/>
      <c r="AD35" s="659"/>
      <c r="AE35" s="659"/>
      <c r="AF35" s="659"/>
      <c r="AG35" s="659"/>
      <c r="AH35" s="659"/>
      <c r="AI35" s="659"/>
      <c r="AJ35" s="659"/>
    </row>
    <row r="36" spans="1:36" s="667" customFormat="1" ht="45.6" hidden="1" customHeight="1" x14ac:dyDescent="0.25">
      <c r="A36" s="662"/>
      <c r="B36" s="661"/>
      <c r="C36" s="661"/>
      <c r="D36" s="661"/>
      <c r="E36" s="661"/>
      <c r="F36" s="663"/>
      <c r="G36" s="668"/>
      <c r="H36" s="668"/>
      <c r="I36" s="664"/>
      <c r="J36" s="664"/>
      <c r="K36" s="665"/>
      <c r="L36" s="665"/>
      <c r="M36" s="665"/>
      <c r="N36" s="665"/>
      <c r="O36" s="665"/>
      <c r="P36" s="665"/>
      <c r="Q36" s="665"/>
      <c r="R36" s="665"/>
      <c r="S36" s="665"/>
      <c r="T36" s="665"/>
      <c r="U36" s="665"/>
      <c r="V36" s="665"/>
      <c r="W36" s="665"/>
      <c r="X36" s="665"/>
      <c r="Y36" s="666"/>
      <c r="Z36" s="666"/>
      <c r="AA36" s="666"/>
      <c r="AB36" s="666"/>
      <c r="AC36" s="666"/>
      <c r="AD36" s="666"/>
      <c r="AE36" s="666"/>
      <c r="AF36" s="666"/>
      <c r="AG36" s="666"/>
      <c r="AH36" s="666"/>
      <c r="AI36" s="666"/>
      <c r="AJ36" s="666"/>
    </row>
    <row r="37" spans="1:36" s="667" customFormat="1" ht="33" customHeight="1" x14ac:dyDescent="0.25">
      <c r="A37" s="662" t="s">
        <v>1039</v>
      </c>
      <c r="B37" s="661" t="s">
        <v>1115</v>
      </c>
      <c r="C37" s="661" t="s">
        <v>926</v>
      </c>
      <c r="D37" s="661" t="s">
        <v>921</v>
      </c>
      <c r="E37" s="661" t="s">
        <v>1014</v>
      </c>
      <c r="F37" s="663" t="s">
        <v>1015</v>
      </c>
      <c r="G37" s="668" t="s">
        <v>1116</v>
      </c>
      <c r="H37" s="668" t="s">
        <v>928</v>
      </c>
      <c r="I37" s="664" t="s">
        <v>900</v>
      </c>
      <c r="J37" s="664" t="s">
        <v>900</v>
      </c>
      <c r="K37" s="1245">
        <f t="shared" ref="K37:K39" si="4">SUM(M37:S37)</f>
        <v>2013.16</v>
      </c>
      <c r="L37" s="1246"/>
      <c r="M37" s="771"/>
      <c r="N37" s="1246">
        <v>2013.16</v>
      </c>
      <c r="O37" s="665"/>
      <c r="P37" s="665"/>
      <c r="Q37" s="665"/>
      <c r="R37" s="665"/>
      <c r="S37" s="665"/>
      <c r="T37" s="665"/>
      <c r="U37" s="665"/>
      <c r="V37" s="665"/>
      <c r="W37" s="665"/>
      <c r="X37" s="665"/>
      <c r="Y37" s="666">
        <f t="shared" ref="Y37:AH41" si="5">M37/1.18</f>
        <v>0</v>
      </c>
      <c r="Z37" s="666">
        <f t="shared" si="5"/>
        <v>1706.0677966101696</v>
      </c>
      <c r="AA37" s="666">
        <f t="shared" si="5"/>
        <v>0</v>
      </c>
      <c r="AB37" s="666">
        <f t="shared" si="5"/>
        <v>0</v>
      </c>
      <c r="AC37" s="666">
        <f t="shared" si="5"/>
        <v>0</v>
      </c>
      <c r="AD37" s="666">
        <f t="shared" si="5"/>
        <v>0</v>
      </c>
      <c r="AE37" s="666">
        <f t="shared" si="5"/>
        <v>0</v>
      </c>
      <c r="AF37" s="666">
        <f t="shared" si="5"/>
        <v>0</v>
      </c>
      <c r="AG37" s="666">
        <f t="shared" si="5"/>
        <v>0</v>
      </c>
      <c r="AH37" s="666">
        <f t="shared" si="5"/>
        <v>0</v>
      </c>
      <c r="AI37" s="666">
        <f t="shared" ref="AI37:AI41" si="6">SUM(Z37:AH37)</f>
        <v>1706.0677966101696</v>
      </c>
      <c r="AJ37" s="666">
        <f>SUM(Y37:AH37)</f>
        <v>1706.0677966101696</v>
      </c>
    </row>
    <row r="38" spans="1:36" s="667" customFormat="1" ht="33" customHeight="1" x14ac:dyDescent="0.25">
      <c r="A38" s="662" t="s">
        <v>1041</v>
      </c>
      <c r="B38" s="661" t="s">
        <v>1117</v>
      </c>
      <c r="C38" s="661" t="s">
        <v>926</v>
      </c>
      <c r="D38" s="661" t="s">
        <v>921</v>
      </c>
      <c r="E38" s="661" t="s">
        <v>1014</v>
      </c>
      <c r="F38" s="663" t="s">
        <v>1015</v>
      </c>
      <c r="G38" s="668" t="s">
        <v>1118</v>
      </c>
      <c r="H38" s="668" t="s">
        <v>1119</v>
      </c>
      <c r="I38" s="664" t="s">
        <v>904</v>
      </c>
      <c r="J38" s="664" t="s">
        <v>904</v>
      </c>
      <c r="K38" s="1245">
        <f t="shared" si="4"/>
        <v>4600.58</v>
      </c>
      <c r="L38" s="665"/>
      <c r="M38" s="771"/>
      <c r="N38" s="665"/>
      <c r="O38" s="665"/>
      <c r="P38" s="665"/>
      <c r="Q38" s="665"/>
      <c r="R38" s="1246">
        <v>4600.58</v>
      </c>
      <c r="S38" s="665"/>
      <c r="T38" s="665"/>
      <c r="U38" s="665"/>
      <c r="V38" s="665"/>
      <c r="W38" s="665"/>
      <c r="X38" s="665"/>
      <c r="Y38" s="666">
        <f t="shared" si="5"/>
        <v>0</v>
      </c>
      <c r="Z38" s="666">
        <f t="shared" si="5"/>
        <v>0</v>
      </c>
      <c r="AA38" s="666">
        <f t="shared" si="5"/>
        <v>0</v>
      </c>
      <c r="AB38" s="666">
        <f t="shared" si="5"/>
        <v>0</v>
      </c>
      <c r="AC38" s="666">
        <f t="shared" si="5"/>
        <v>0</v>
      </c>
      <c r="AD38" s="666">
        <f t="shared" si="5"/>
        <v>3898.7966101694915</v>
      </c>
      <c r="AE38" s="666">
        <f t="shared" si="5"/>
        <v>0</v>
      </c>
      <c r="AF38" s="666">
        <f t="shared" si="5"/>
        <v>0</v>
      </c>
      <c r="AG38" s="666">
        <f t="shared" si="5"/>
        <v>0</v>
      </c>
      <c r="AH38" s="666">
        <f t="shared" si="5"/>
        <v>0</v>
      </c>
      <c r="AI38" s="666">
        <f t="shared" si="6"/>
        <v>3898.7966101694915</v>
      </c>
      <c r="AJ38" s="666"/>
    </row>
    <row r="39" spans="1:36" s="667" customFormat="1" ht="42" customHeight="1" x14ac:dyDescent="0.25">
      <c r="A39" s="662" t="s">
        <v>1044</v>
      </c>
      <c r="B39" s="661" t="s">
        <v>1120</v>
      </c>
      <c r="C39" s="661" t="s">
        <v>926</v>
      </c>
      <c r="D39" s="661" t="s">
        <v>921</v>
      </c>
      <c r="E39" s="661" t="s">
        <v>1112</v>
      </c>
      <c r="F39" s="663" t="s">
        <v>927</v>
      </c>
      <c r="G39" s="663"/>
      <c r="H39" s="663"/>
      <c r="I39" s="664" t="s">
        <v>902</v>
      </c>
      <c r="J39" s="664" t="s">
        <v>902</v>
      </c>
      <c r="K39" s="1245">
        <f t="shared" si="4"/>
        <v>6331.79</v>
      </c>
      <c r="L39" s="665"/>
      <c r="M39" s="771"/>
      <c r="N39" s="665"/>
      <c r="O39" s="665"/>
      <c r="P39" s="1246">
        <v>6331.79</v>
      </c>
      <c r="Q39" s="665"/>
      <c r="R39" s="665"/>
      <c r="S39" s="665"/>
      <c r="T39" s="665"/>
      <c r="U39" s="665"/>
      <c r="V39" s="665"/>
      <c r="W39" s="665"/>
      <c r="X39" s="665"/>
      <c r="Y39" s="666">
        <f t="shared" si="5"/>
        <v>0</v>
      </c>
      <c r="Z39" s="666">
        <f t="shared" si="5"/>
        <v>0</v>
      </c>
      <c r="AA39" s="666">
        <f t="shared" si="5"/>
        <v>0</v>
      </c>
      <c r="AB39" s="666">
        <f t="shared" si="5"/>
        <v>5365.9237288135591</v>
      </c>
      <c r="AC39" s="666">
        <f t="shared" si="5"/>
        <v>0</v>
      </c>
      <c r="AD39" s="666">
        <f t="shared" si="5"/>
        <v>0</v>
      </c>
      <c r="AE39" s="666">
        <f t="shared" si="5"/>
        <v>0</v>
      </c>
      <c r="AF39" s="666">
        <f t="shared" si="5"/>
        <v>0</v>
      </c>
      <c r="AG39" s="666">
        <f t="shared" si="5"/>
        <v>0</v>
      </c>
      <c r="AH39" s="666">
        <f t="shared" si="5"/>
        <v>0</v>
      </c>
      <c r="AI39" s="666">
        <f t="shared" si="6"/>
        <v>5365.9237288135591</v>
      </c>
      <c r="AJ39" s="666"/>
    </row>
    <row r="40" spans="1:36" s="667" customFormat="1" ht="33" customHeight="1" x14ac:dyDescent="0.25">
      <c r="A40" s="662" t="s">
        <v>1276</v>
      </c>
      <c r="B40" s="661" t="s">
        <v>1115</v>
      </c>
      <c r="C40" s="661" t="s">
        <v>926</v>
      </c>
      <c r="D40" s="661" t="s">
        <v>921</v>
      </c>
      <c r="E40" s="661" t="s">
        <v>1014</v>
      </c>
      <c r="F40" s="663" t="s">
        <v>1015</v>
      </c>
      <c r="G40" s="668" t="s">
        <v>1116</v>
      </c>
      <c r="H40" s="668" t="s">
        <v>928</v>
      </c>
      <c r="I40" s="664" t="s">
        <v>906</v>
      </c>
      <c r="J40" s="664" t="s">
        <v>906</v>
      </c>
      <c r="K40" s="1245">
        <f>SUM(M40:W40)</f>
        <v>2807.56</v>
      </c>
      <c r="L40" s="665"/>
      <c r="M40" s="771"/>
      <c r="N40" s="665"/>
      <c r="O40" s="665"/>
      <c r="P40" s="665"/>
      <c r="Q40" s="665"/>
      <c r="R40" s="665"/>
      <c r="S40" s="665"/>
      <c r="T40" s="1246">
        <v>2807.56</v>
      </c>
      <c r="U40" s="665"/>
      <c r="V40" s="665"/>
      <c r="W40" s="665"/>
      <c r="X40" s="665"/>
      <c r="Y40" s="666">
        <f t="shared" si="5"/>
        <v>0</v>
      </c>
      <c r="Z40" s="666">
        <f t="shared" si="5"/>
        <v>0</v>
      </c>
      <c r="AA40" s="666">
        <f t="shared" si="5"/>
        <v>0</v>
      </c>
      <c r="AB40" s="666">
        <f t="shared" si="5"/>
        <v>0</v>
      </c>
      <c r="AC40" s="666">
        <f t="shared" si="5"/>
        <v>0</v>
      </c>
      <c r="AD40" s="666">
        <f t="shared" si="5"/>
        <v>0</v>
      </c>
      <c r="AE40" s="666">
        <f t="shared" si="5"/>
        <v>0</v>
      </c>
      <c r="AF40" s="666">
        <f t="shared" si="5"/>
        <v>2379.2881355932204</v>
      </c>
      <c r="AG40" s="666">
        <f t="shared" si="5"/>
        <v>0</v>
      </c>
      <c r="AH40" s="666">
        <f t="shared" si="5"/>
        <v>0</v>
      </c>
      <c r="AI40" s="666">
        <f t="shared" si="6"/>
        <v>2379.2881355932204</v>
      </c>
      <c r="AJ40" s="666"/>
    </row>
    <row r="41" spans="1:36" s="667" customFormat="1" ht="33" customHeight="1" x14ac:dyDescent="0.25">
      <c r="A41" s="662" t="s">
        <v>1277</v>
      </c>
      <c r="B41" s="661" t="s">
        <v>1121</v>
      </c>
      <c r="C41" s="661" t="s">
        <v>926</v>
      </c>
      <c r="D41" s="661" t="s">
        <v>921</v>
      </c>
      <c r="E41" s="661" t="s">
        <v>1112</v>
      </c>
      <c r="F41" s="663" t="s">
        <v>927</v>
      </c>
      <c r="G41" s="663"/>
      <c r="H41" s="663"/>
      <c r="I41" s="664" t="s">
        <v>907</v>
      </c>
      <c r="J41" s="664" t="s">
        <v>907</v>
      </c>
      <c r="K41" s="1245">
        <f>SUM(M41:W41)</f>
        <v>2837.27</v>
      </c>
      <c r="L41" s="665"/>
      <c r="M41" s="771"/>
      <c r="N41" s="665"/>
      <c r="O41" s="665"/>
      <c r="P41" s="665"/>
      <c r="Q41" s="665"/>
      <c r="R41" s="665"/>
      <c r="S41" s="665"/>
      <c r="T41" s="665"/>
      <c r="U41" s="1246">
        <v>2837.27</v>
      </c>
      <c r="V41" s="665"/>
      <c r="W41" s="665"/>
      <c r="X41" s="665"/>
      <c r="Y41" s="666">
        <f t="shared" si="5"/>
        <v>0</v>
      </c>
      <c r="Z41" s="666">
        <f t="shared" si="5"/>
        <v>0</v>
      </c>
      <c r="AA41" s="666">
        <f t="shared" si="5"/>
        <v>0</v>
      </c>
      <c r="AB41" s="666">
        <f t="shared" si="5"/>
        <v>0</v>
      </c>
      <c r="AC41" s="666">
        <f t="shared" si="5"/>
        <v>0</v>
      </c>
      <c r="AD41" s="666">
        <f t="shared" si="5"/>
        <v>0</v>
      </c>
      <c r="AE41" s="666">
        <f t="shared" si="5"/>
        <v>0</v>
      </c>
      <c r="AF41" s="666">
        <f t="shared" si="5"/>
        <v>0</v>
      </c>
      <c r="AG41" s="666">
        <f t="shared" si="5"/>
        <v>2404.4661016949153</v>
      </c>
      <c r="AH41" s="666">
        <f t="shared" si="5"/>
        <v>0</v>
      </c>
      <c r="AI41" s="666">
        <f t="shared" si="6"/>
        <v>2404.4661016949153</v>
      </c>
      <c r="AJ41" s="666"/>
    </row>
    <row r="42" spans="1:36" s="599" customFormat="1" ht="9.75" customHeight="1" x14ac:dyDescent="0.2">
      <c r="A42" s="942" t="s">
        <v>929</v>
      </c>
      <c r="B42" s="942"/>
      <c r="C42" s="942"/>
      <c r="D42" s="942"/>
      <c r="E42" s="942"/>
      <c r="F42" s="942"/>
      <c r="G42" s="942"/>
      <c r="H42" s="942"/>
      <c r="I42" s="942"/>
      <c r="J42" s="942"/>
      <c r="K42" s="608">
        <f>SUM(K37:K41,K29:K30)</f>
        <v>22182.04990200137</v>
      </c>
      <c r="L42" s="608">
        <f t="shared" ref="L42:AI42" si="7">SUM(L37:L41,L29:L30)</f>
        <v>0</v>
      </c>
      <c r="M42" s="608">
        <f t="shared" si="7"/>
        <v>0</v>
      </c>
      <c r="N42" s="608">
        <f t="shared" si="7"/>
        <v>2013.16</v>
      </c>
      <c r="O42" s="608">
        <f t="shared" si="7"/>
        <v>3591.6899020013698</v>
      </c>
      <c r="P42" s="608">
        <f t="shared" si="7"/>
        <v>6331.79</v>
      </c>
      <c r="Q42" s="608">
        <f t="shared" si="7"/>
        <v>0</v>
      </c>
      <c r="R42" s="608">
        <f t="shared" si="7"/>
        <v>4600.58</v>
      </c>
      <c r="S42" s="608">
        <f t="shared" si="7"/>
        <v>0</v>
      </c>
      <c r="T42" s="608">
        <f t="shared" si="7"/>
        <v>2807.56</v>
      </c>
      <c r="U42" s="608">
        <f t="shared" si="7"/>
        <v>2837.27</v>
      </c>
      <c r="V42" s="608">
        <f t="shared" si="7"/>
        <v>0</v>
      </c>
      <c r="W42" s="608">
        <f t="shared" si="7"/>
        <v>0</v>
      </c>
      <c r="X42" s="608">
        <f t="shared" si="7"/>
        <v>0</v>
      </c>
      <c r="Y42" s="608">
        <f t="shared" si="7"/>
        <v>0</v>
      </c>
      <c r="Z42" s="608">
        <f t="shared" si="7"/>
        <v>1706.0677966101696</v>
      </c>
      <c r="AA42" s="608">
        <f t="shared" si="7"/>
        <v>3043.8050016960765</v>
      </c>
      <c r="AB42" s="608">
        <f t="shared" si="7"/>
        <v>5365.9237288135591</v>
      </c>
      <c r="AC42" s="608">
        <f t="shared" si="7"/>
        <v>0</v>
      </c>
      <c r="AD42" s="608">
        <f t="shared" si="7"/>
        <v>3898.7966101694915</v>
      </c>
      <c r="AE42" s="608">
        <f t="shared" si="7"/>
        <v>0</v>
      </c>
      <c r="AF42" s="608">
        <f t="shared" si="7"/>
        <v>2379.2881355932204</v>
      </c>
      <c r="AG42" s="608">
        <f t="shared" si="7"/>
        <v>2404.4661016949153</v>
      </c>
      <c r="AH42" s="608">
        <f t="shared" si="7"/>
        <v>0</v>
      </c>
      <c r="AI42" s="608">
        <f t="shared" si="7"/>
        <v>18798.347374577432</v>
      </c>
      <c r="AJ42" s="666">
        <f>SUM(Y42:AH42)</f>
        <v>18798.347374577428</v>
      </c>
    </row>
    <row r="43" spans="1:36" s="598" customFormat="1" ht="9" hidden="1" customHeight="1" x14ac:dyDescent="0.2">
      <c r="A43" s="947" t="s">
        <v>930</v>
      </c>
      <c r="B43" s="947"/>
      <c r="C43" s="947"/>
      <c r="D43" s="947"/>
      <c r="E43" s="947"/>
      <c r="F43" s="947"/>
      <c r="G43" s="947"/>
      <c r="H43" s="947"/>
      <c r="I43" s="947"/>
      <c r="J43" s="947"/>
      <c r="K43" s="947"/>
      <c r="L43" s="947"/>
      <c r="M43" s="947"/>
      <c r="N43" s="947"/>
      <c r="O43" s="947"/>
      <c r="P43" s="947"/>
      <c r="Q43" s="947"/>
      <c r="R43" s="947"/>
      <c r="S43" s="947"/>
      <c r="T43" s="947"/>
      <c r="U43" s="947"/>
      <c r="V43" s="947"/>
      <c r="W43" s="947"/>
      <c r="X43" s="947"/>
      <c r="Y43" s="660"/>
      <c r="Z43" s="660"/>
      <c r="AA43" s="660"/>
      <c r="AB43" s="660"/>
      <c r="AC43" s="660"/>
      <c r="AD43" s="660"/>
      <c r="AE43" s="660"/>
      <c r="AF43" s="660"/>
      <c r="AG43" s="660"/>
      <c r="AH43" s="660"/>
      <c r="AI43" s="660"/>
      <c r="AJ43" s="660"/>
    </row>
    <row r="44" spans="1:36" s="599" customFormat="1" ht="63" hidden="1" customHeight="1" x14ac:dyDescent="0.2">
      <c r="A44" s="902"/>
      <c r="B44" s="604"/>
      <c r="C44" s="604"/>
      <c r="D44" s="604"/>
      <c r="E44" s="604"/>
      <c r="F44" s="605"/>
      <c r="G44" s="605"/>
      <c r="H44" s="605"/>
      <c r="I44" s="606"/>
      <c r="J44" s="606"/>
      <c r="K44" s="605"/>
      <c r="L44" s="605"/>
      <c r="M44" s="605"/>
      <c r="N44" s="605"/>
      <c r="O44" s="605"/>
      <c r="P44" s="605"/>
      <c r="Q44" s="605"/>
      <c r="R44" s="605"/>
      <c r="S44" s="605"/>
      <c r="T44" s="605"/>
      <c r="U44" s="605"/>
      <c r="V44" s="605"/>
      <c r="W44" s="605"/>
      <c r="X44" s="605"/>
      <c r="Y44" s="659"/>
      <c r="Z44" s="659"/>
      <c r="AA44" s="659"/>
      <c r="AB44" s="659"/>
      <c r="AC44" s="659"/>
      <c r="AD44" s="659"/>
      <c r="AE44" s="659"/>
      <c r="AF44" s="659"/>
      <c r="AG44" s="659"/>
      <c r="AH44" s="659"/>
      <c r="AI44" s="659"/>
      <c r="AJ44" s="659"/>
    </row>
    <row r="45" spans="1:36" s="599" customFormat="1" ht="63" hidden="1" customHeight="1" x14ac:dyDescent="0.2">
      <c r="A45" s="902"/>
      <c r="B45" s="604"/>
      <c r="C45" s="604"/>
      <c r="D45" s="604"/>
      <c r="E45" s="604"/>
      <c r="F45" s="605"/>
      <c r="G45" s="605"/>
      <c r="H45" s="605"/>
      <c r="I45" s="606"/>
      <c r="J45" s="606"/>
      <c r="K45" s="605"/>
      <c r="L45" s="605"/>
      <c r="M45" s="605"/>
      <c r="N45" s="605"/>
      <c r="O45" s="605"/>
      <c r="P45" s="605"/>
      <c r="Q45" s="605"/>
      <c r="R45" s="605"/>
      <c r="S45" s="605"/>
      <c r="T45" s="605"/>
      <c r="U45" s="605"/>
      <c r="V45" s="605"/>
      <c r="W45" s="605"/>
      <c r="X45" s="605"/>
      <c r="Y45" s="659"/>
      <c r="Z45" s="659"/>
      <c r="AA45" s="659"/>
      <c r="AB45" s="659"/>
      <c r="AC45" s="659"/>
      <c r="AD45" s="659"/>
      <c r="AE45" s="659"/>
      <c r="AF45" s="659"/>
      <c r="AG45" s="659"/>
      <c r="AH45" s="659"/>
      <c r="AI45" s="659"/>
      <c r="AJ45" s="659"/>
    </row>
    <row r="46" spans="1:36" s="599" customFormat="1" ht="61.5" hidden="1" customHeight="1" x14ac:dyDescent="0.2">
      <c r="A46" s="902"/>
      <c r="B46" s="604"/>
      <c r="C46" s="604"/>
      <c r="D46" s="604"/>
      <c r="E46" s="604"/>
      <c r="F46" s="605"/>
      <c r="G46" s="605"/>
      <c r="H46" s="605"/>
      <c r="I46" s="606"/>
      <c r="J46" s="606"/>
      <c r="K46" s="605"/>
      <c r="L46" s="605"/>
      <c r="M46" s="605"/>
      <c r="N46" s="605"/>
      <c r="O46" s="605"/>
      <c r="P46" s="605"/>
      <c r="Q46" s="605"/>
      <c r="R46" s="605"/>
      <c r="S46" s="605"/>
      <c r="T46" s="605"/>
      <c r="U46" s="605"/>
      <c r="V46" s="605"/>
      <c r="W46" s="605"/>
      <c r="X46" s="605"/>
      <c r="Y46" s="659"/>
      <c r="Z46" s="659"/>
      <c r="AA46" s="659"/>
      <c r="AB46" s="659"/>
      <c r="AC46" s="659"/>
      <c r="AD46" s="659"/>
      <c r="AE46" s="659"/>
      <c r="AF46" s="659"/>
      <c r="AG46" s="659"/>
      <c r="AH46" s="659"/>
      <c r="AI46" s="659"/>
      <c r="AJ46" s="659"/>
    </row>
    <row r="47" spans="1:36" s="599" customFormat="1" ht="63" hidden="1" customHeight="1" x14ac:dyDescent="0.2">
      <c r="A47" s="902"/>
      <c r="B47" s="604"/>
      <c r="C47" s="604"/>
      <c r="D47" s="604"/>
      <c r="E47" s="604"/>
      <c r="F47" s="605"/>
      <c r="G47" s="605"/>
      <c r="H47" s="605"/>
      <c r="I47" s="606"/>
      <c r="J47" s="606"/>
      <c r="K47" s="605"/>
      <c r="L47" s="605"/>
      <c r="M47" s="605"/>
      <c r="N47" s="605"/>
      <c r="O47" s="605"/>
      <c r="P47" s="605"/>
      <c r="Q47" s="605"/>
      <c r="R47" s="605"/>
      <c r="S47" s="605"/>
      <c r="T47" s="605"/>
      <c r="U47" s="605"/>
      <c r="V47" s="605"/>
      <c r="W47" s="605"/>
      <c r="X47" s="605"/>
      <c r="Y47" s="659"/>
      <c r="Z47" s="659"/>
      <c r="AA47" s="659"/>
      <c r="AB47" s="659"/>
      <c r="AC47" s="659"/>
      <c r="AD47" s="659"/>
      <c r="AE47" s="659"/>
      <c r="AF47" s="659"/>
      <c r="AG47" s="659"/>
      <c r="AH47" s="659"/>
      <c r="AI47" s="659"/>
      <c r="AJ47" s="659"/>
    </row>
    <row r="48" spans="1:36" s="599" customFormat="1" ht="9" hidden="1" customHeight="1" x14ac:dyDescent="0.2">
      <c r="A48" s="942" t="s">
        <v>931</v>
      </c>
      <c r="B48" s="942"/>
      <c r="C48" s="942"/>
      <c r="D48" s="942"/>
      <c r="E48" s="942"/>
      <c r="F48" s="942"/>
      <c r="G48" s="942"/>
      <c r="H48" s="942"/>
      <c r="I48" s="942"/>
      <c r="J48" s="942"/>
      <c r="K48" s="605"/>
      <c r="L48" s="605"/>
      <c r="M48" s="605"/>
      <c r="N48" s="605"/>
      <c r="O48" s="605"/>
      <c r="P48" s="605"/>
      <c r="Q48" s="605"/>
      <c r="R48" s="605"/>
      <c r="S48" s="605"/>
      <c r="T48" s="605"/>
      <c r="U48" s="605"/>
      <c r="V48" s="605"/>
      <c r="W48" s="605"/>
      <c r="X48" s="605"/>
      <c r="Y48" s="659"/>
      <c r="Z48" s="659"/>
      <c r="AA48" s="659"/>
      <c r="AB48" s="659"/>
      <c r="AC48" s="659"/>
      <c r="AD48" s="659"/>
      <c r="AE48" s="659"/>
      <c r="AF48" s="659"/>
      <c r="AG48" s="659"/>
      <c r="AH48" s="659"/>
      <c r="AI48" s="659"/>
      <c r="AJ48" s="659"/>
    </row>
    <row r="49" spans="1:36" s="598" customFormat="1" ht="9" hidden="1" customHeight="1" x14ac:dyDescent="0.2">
      <c r="A49" s="941" t="s">
        <v>932</v>
      </c>
      <c r="B49" s="941"/>
      <c r="C49" s="941"/>
      <c r="D49" s="941"/>
      <c r="E49" s="941"/>
      <c r="F49" s="941"/>
      <c r="G49" s="941"/>
      <c r="H49" s="941"/>
      <c r="I49" s="941"/>
      <c r="J49" s="941"/>
      <c r="K49" s="941"/>
      <c r="L49" s="941"/>
      <c r="M49" s="941"/>
      <c r="N49" s="941"/>
      <c r="O49" s="941"/>
      <c r="P49" s="941"/>
      <c r="Q49" s="941"/>
      <c r="R49" s="941"/>
      <c r="S49" s="941"/>
      <c r="T49" s="941"/>
      <c r="U49" s="941"/>
      <c r="V49" s="941"/>
      <c r="W49" s="941"/>
      <c r="X49" s="941"/>
      <c r="Y49" s="660"/>
      <c r="Z49" s="660"/>
      <c r="AA49" s="660"/>
      <c r="AB49" s="660"/>
      <c r="AC49" s="660"/>
      <c r="AD49" s="660"/>
      <c r="AE49" s="660"/>
      <c r="AF49" s="660"/>
      <c r="AG49" s="660"/>
      <c r="AH49" s="660"/>
      <c r="AI49" s="660"/>
      <c r="AJ49" s="660"/>
    </row>
    <row r="50" spans="1:36" s="599" customFormat="1" ht="9" hidden="1" customHeight="1" x14ac:dyDescent="0.2">
      <c r="A50" s="942" t="s">
        <v>933</v>
      </c>
      <c r="B50" s="942"/>
      <c r="C50" s="942"/>
      <c r="D50" s="942"/>
      <c r="E50" s="942"/>
      <c r="F50" s="942"/>
      <c r="G50" s="942"/>
      <c r="H50" s="942"/>
      <c r="I50" s="942"/>
      <c r="J50" s="942"/>
      <c r="K50" s="942"/>
      <c r="L50" s="942"/>
      <c r="M50" s="942"/>
      <c r="N50" s="942"/>
      <c r="O50" s="942"/>
      <c r="P50" s="942"/>
      <c r="Q50" s="942"/>
      <c r="R50" s="942"/>
      <c r="S50" s="942"/>
      <c r="T50" s="942"/>
      <c r="U50" s="942"/>
      <c r="V50" s="942"/>
      <c r="W50" s="942"/>
      <c r="X50" s="942"/>
      <c r="Y50" s="659"/>
      <c r="Z50" s="659"/>
      <c r="AA50" s="659"/>
      <c r="AB50" s="659"/>
      <c r="AC50" s="659"/>
      <c r="AD50" s="659"/>
      <c r="AE50" s="659"/>
      <c r="AF50" s="659"/>
      <c r="AG50" s="659"/>
      <c r="AH50" s="659"/>
      <c r="AI50" s="659"/>
      <c r="AJ50" s="659"/>
    </row>
    <row r="51" spans="1:36" s="599" customFormat="1" ht="9" hidden="1" customHeight="1" x14ac:dyDescent="0.2">
      <c r="A51" s="902" t="s">
        <v>934</v>
      </c>
      <c r="B51" s="604"/>
      <c r="C51" s="604"/>
      <c r="D51" s="604"/>
      <c r="E51" s="604"/>
      <c r="F51" s="605"/>
      <c r="G51" s="605"/>
      <c r="H51" s="605"/>
      <c r="I51" s="606"/>
      <c r="J51" s="606"/>
      <c r="K51" s="605"/>
      <c r="L51" s="605"/>
      <c r="M51" s="605"/>
      <c r="N51" s="605"/>
      <c r="O51" s="605"/>
      <c r="P51" s="605"/>
      <c r="Q51" s="605"/>
      <c r="R51" s="605"/>
      <c r="S51" s="605"/>
      <c r="T51" s="605"/>
      <c r="U51" s="605"/>
      <c r="V51" s="605"/>
      <c r="W51" s="605"/>
      <c r="X51" s="605"/>
      <c r="Y51" s="659"/>
      <c r="Z51" s="659"/>
      <c r="AA51" s="659"/>
      <c r="AB51" s="659"/>
      <c r="AC51" s="659"/>
      <c r="AD51" s="659"/>
      <c r="AE51" s="659"/>
      <c r="AF51" s="659"/>
      <c r="AG51" s="659"/>
      <c r="AH51" s="659"/>
      <c r="AI51" s="659"/>
      <c r="AJ51" s="659"/>
    </row>
    <row r="52" spans="1:36" s="599" customFormat="1" ht="9" hidden="1" customHeight="1" x14ac:dyDescent="0.2">
      <c r="A52" s="902" t="s">
        <v>935</v>
      </c>
      <c r="B52" s="604"/>
      <c r="C52" s="604"/>
      <c r="D52" s="604"/>
      <c r="E52" s="604"/>
      <c r="F52" s="605"/>
      <c r="G52" s="605"/>
      <c r="H52" s="605"/>
      <c r="I52" s="606"/>
      <c r="J52" s="606"/>
      <c r="K52" s="605"/>
      <c r="L52" s="605"/>
      <c r="M52" s="605"/>
      <c r="N52" s="605"/>
      <c r="O52" s="605"/>
      <c r="P52" s="605"/>
      <c r="Q52" s="605"/>
      <c r="R52" s="605"/>
      <c r="S52" s="605"/>
      <c r="T52" s="605"/>
      <c r="U52" s="605"/>
      <c r="V52" s="605"/>
      <c r="W52" s="605"/>
      <c r="X52" s="605"/>
      <c r="Y52" s="659"/>
      <c r="Z52" s="659"/>
      <c r="AA52" s="659"/>
      <c r="AB52" s="659"/>
      <c r="AC52" s="659"/>
      <c r="AD52" s="659"/>
      <c r="AE52" s="659"/>
      <c r="AF52" s="659"/>
      <c r="AG52" s="659"/>
      <c r="AH52" s="659"/>
      <c r="AI52" s="659"/>
      <c r="AJ52" s="659"/>
    </row>
    <row r="53" spans="1:36" s="599" customFormat="1" ht="9" hidden="1" customHeight="1" x14ac:dyDescent="0.2">
      <c r="A53" s="942" t="s">
        <v>936</v>
      </c>
      <c r="B53" s="942"/>
      <c r="C53" s="942"/>
      <c r="D53" s="942"/>
      <c r="E53" s="942"/>
      <c r="F53" s="942"/>
      <c r="G53" s="942"/>
      <c r="H53" s="942"/>
      <c r="I53" s="942"/>
      <c r="J53" s="942"/>
      <c r="K53" s="942"/>
      <c r="L53" s="942"/>
      <c r="M53" s="942"/>
      <c r="N53" s="942"/>
      <c r="O53" s="942"/>
      <c r="P53" s="942"/>
      <c r="Q53" s="942"/>
      <c r="R53" s="942"/>
      <c r="S53" s="942"/>
      <c r="T53" s="942"/>
      <c r="U53" s="942"/>
      <c r="V53" s="942"/>
      <c r="W53" s="942"/>
      <c r="X53" s="942"/>
      <c r="Y53" s="659"/>
      <c r="Z53" s="659"/>
      <c r="AA53" s="659"/>
      <c r="AB53" s="659"/>
      <c r="AC53" s="659"/>
      <c r="AD53" s="659"/>
      <c r="AE53" s="659"/>
      <c r="AF53" s="659"/>
      <c r="AG53" s="659"/>
      <c r="AH53" s="659"/>
      <c r="AI53" s="659"/>
      <c r="AJ53" s="659"/>
    </row>
    <row r="54" spans="1:36" s="599" customFormat="1" ht="9" hidden="1" customHeight="1" x14ac:dyDescent="0.2">
      <c r="A54" s="902" t="s">
        <v>937</v>
      </c>
      <c r="B54" s="604"/>
      <c r="C54" s="604"/>
      <c r="D54" s="604"/>
      <c r="E54" s="604"/>
      <c r="F54" s="605"/>
      <c r="G54" s="605"/>
      <c r="H54" s="605"/>
      <c r="I54" s="606"/>
      <c r="J54" s="606"/>
      <c r="K54" s="605"/>
      <c r="L54" s="605"/>
      <c r="M54" s="605"/>
      <c r="N54" s="605"/>
      <c r="O54" s="605"/>
      <c r="P54" s="605"/>
      <c r="Q54" s="605"/>
      <c r="R54" s="605"/>
      <c r="S54" s="605"/>
      <c r="T54" s="605"/>
      <c r="U54" s="605"/>
      <c r="V54" s="605"/>
      <c r="W54" s="605"/>
      <c r="X54" s="605"/>
      <c r="Y54" s="659"/>
      <c r="Z54" s="659"/>
      <c r="AA54" s="659"/>
      <c r="AB54" s="659"/>
      <c r="AC54" s="659"/>
      <c r="AD54" s="659"/>
      <c r="AE54" s="659"/>
      <c r="AF54" s="659"/>
      <c r="AG54" s="659"/>
      <c r="AH54" s="659"/>
      <c r="AI54" s="659"/>
      <c r="AJ54" s="659"/>
    </row>
    <row r="55" spans="1:36" s="599" customFormat="1" ht="9" hidden="1" customHeight="1" x14ac:dyDescent="0.2">
      <c r="A55" s="902" t="s">
        <v>938</v>
      </c>
      <c r="B55" s="604"/>
      <c r="C55" s="604"/>
      <c r="D55" s="604"/>
      <c r="E55" s="604"/>
      <c r="F55" s="605"/>
      <c r="G55" s="605"/>
      <c r="H55" s="605"/>
      <c r="I55" s="606"/>
      <c r="J55" s="606"/>
      <c r="K55" s="605"/>
      <c r="L55" s="605"/>
      <c r="M55" s="605"/>
      <c r="N55" s="605"/>
      <c r="O55" s="605"/>
      <c r="P55" s="605"/>
      <c r="Q55" s="605"/>
      <c r="R55" s="605"/>
      <c r="S55" s="605"/>
      <c r="T55" s="605"/>
      <c r="U55" s="605"/>
      <c r="V55" s="605"/>
      <c r="W55" s="605"/>
      <c r="X55" s="605"/>
      <c r="Y55" s="659"/>
      <c r="Z55" s="659"/>
      <c r="AA55" s="659"/>
      <c r="AB55" s="659"/>
      <c r="AC55" s="659"/>
      <c r="AD55" s="659"/>
      <c r="AE55" s="659"/>
      <c r="AF55" s="659"/>
      <c r="AG55" s="659"/>
      <c r="AH55" s="659"/>
      <c r="AI55" s="659"/>
      <c r="AJ55" s="659"/>
    </row>
    <row r="56" spans="1:36" s="599" customFormat="1" ht="9" hidden="1" customHeight="1" x14ac:dyDescent="0.2">
      <c r="A56" s="942" t="s">
        <v>939</v>
      </c>
      <c r="B56" s="942"/>
      <c r="C56" s="942"/>
      <c r="D56" s="942"/>
      <c r="E56" s="942"/>
      <c r="F56" s="942"/>
      <c r="G56" s="942"/>
      <c r="H56" s="942"/>
      <c r="I56" s="942"/>
      <c r="J56" s="942"/>
      <c r="K56" s="605"/>
      <c r="L56" s="605"/>
      <c r="M56" s="605"/>
      <c r="N56" s="605"/>
      <c r="O56" s="605"/>
      <c r="P56" s="605"/>
      <c r="Q56" s="605"/>
      <c r="R56" s="605"/>
      <c r="S56" s="605"/>
      <c r="T56" s="605"/>
      <c r="U56" s="605"/>
      <c r="V56" s="605"/>
      <c r="W56" s="605"/>
      <c r="X56" s="605"/>
      <c r="Y56" s="659"/>
      <c r="Z56" s="659"/>
      <c r="AA56" s="659"/>
      <c r="AB56" s="659"/>
      <c r="AC56" s="659"/>
      <c r="AD56" s="659"/>
      <c r="AE56" s="659"/>
      <c r="AF56" s="659"/>
      <c r="AG56" s="659"/>
      <c r="AH56" s="659"/>
      <c r="AI56" s="659"/>
      <c r="AJ56" s="659"/>
    </row>
    <row r="57" spans="1:36" s="598" customFormat="1" ht="10.5" hidden="1" customHeight="1" x14ac:dyDescent="0.2">
      <c r="A57" s="974" t="s">
        <v>940</v>
      </c>
      <c r="B57" s="974"/>
      <c r="C57" s="974"/>
      <c r="D57" s="974"/>
      <c r="E57" s="974"/>
      <c r="F57" s="974"/>
      <c r="G57" s="974"/>
      <c r="H57" s="974"/>
      <c r="I57" s="974"/>
      <c r="J57" s="974"/>
      <c r="K57" s="608">
        <f t="shared" ref="K57:AH57" si="8">K31+K42</f>
        <v>25773.73980400274</v>
      </c>
      <c r="L57" s="608">
        <f t="shared" si="8"/>
        <v>0</v>
      </c>
      <c r="M57" s="608">
        <f t="shared" si="8"/>
        <v>0</v>
      </c>
      <c r="N57" s="608">
        <f t="shared" si="8"/>
        <v>2013.16</v>
      </c>
      <c r="O57" s="608">
        <f t="shared" si="8"/>
        <v>7183.3798040027395</v>
      </c>
      <c r="P57" s="608">
        <f t="shared" si="8"/>
        <v>6331.79</v>
      </c>
      <c r="Q57" s="608">
        <f t="shared" si="8"/>
        <v>0</v>
      </c>
      <c r="R57" s="608">
        <f t="shared" si="8"/>
        <v>4600.58</v>
      </c>
      <c r="S57" s="608">
        <f t="shared" si="8"/>
        <v>0</v>
      </c>
      <c r="T57" s="608">
        <f t="shared" si="8"/>
        <v>2807.56</v>
      </c>
      <c r="U57" s="608">
        <f t="shared" si="8"/>
        <v>2837.27</v>
      </c>
      <c r="V57" s="608">
        <f t="shared" si="8"/>
        <v>0</v>
      </c>
      <c r="W57" s="608">
        <f t="shared" si="8"/>
        <v>0</v>
      </c>
      <c r="X57" s="608">
        <f t="shared" si="8"/>
        <v>0</v>
      </c>
      <c r="Y57" s="608">
        <f t="shared" si="8"/>
        <v>0</v>
      </c>
      <c r="Z57" s="608">
        <f t="shared" si="8"/>
        <v>1706.0677966101696</v>
      </c>
      <c r="AA57" s="608">
        <f t="shared" si="8"/>
        <v>6087.610003392153</v>
      </c>
      <c r="AB57" s="608">
        <f t="shared" si="8"/>
        <v>5365.9237288135591</v>
      </c>
      <c r="AC57" s="608">
        <f t="shared" si="8"/>
        <v>0</v>
      </c>
      <c r="AD57" s="608">
        <f t="shared" si="8"/>
        <v>3898.7966101694915</v>
      </c>
      <c r="AE57" s="608">
        <f t="shared" si="8"/>
        <v>0</v>
      </c>
      <c r="AF57" s="608">
        <f t="shared" si="8"/>
        <v>2379.2881355932204</v>
      </c>
      <c r="AG57" s="608">
        <f t="shared" si="8"/>
        <v>2404.4661016949153</v>
      </c>
      <c r="AH57" s="608">
        <f t="shared" si="8"/>
        <v>0</v>
      </c>
      <c r="AI57" s="666">
        <f t="shared" ref="AI57" si="9">SUM(Y57:AB57)</f>
        <v>13159.601528815881</v>
      </c>
      <c r="AJ57" s="666">
        <f>SUM(Y57:AH57)</f>
        <v>21842.152376273505</v>
      </c>
    </row>
    <row r="58" spans="1:36" s="595" customFormat="1" ht="12" x14ac:dyDescent="0.2">
      <c r="A58" s="974" t="s">
        <v>940</v>
      </c>
      <c r="B58" s="974"/>
      <c r="C58" s="974"/>
      <c r="D58" s="974"/>
      <c r="E58" s="974"/>
      <c r="F58" s="974"/>
      <c r="G58" s="974"/>
      <c r="H58" s="974"/>
      <c r="I58" s="974"/>
      <c r="J58" s="974"/>
      <c r="K58" s="608">
        <f>K42</f>
        <v>22182.04990200137</v>
      </c>
      <c r="L58" s="608">
        <f t="shared" ref="L58:M58" si="10">L31+L42</f>
        <v>0</v>
      </c>
      <c r="M58" s="608">
        <f t="shared" si="10"/>
        <v>0</v>
      </c>
      <c r="N58" s="608">
        <f t="shared" ref="N58:AI58" si="11">N42</f>
        <v>2013.16</v>
      </c>
      <c r="O58" s="608">
        <f t="shared" si="11"/>
        <v>3591.6899020013698</v>
      </c>
      <c r="P58" s="608">
        <f t="shared" si="11"/>
        <v>6331.79</v>
      </c>
      <c r="Q58" s="608">
        <f t="shared" si="11"/>
        <v>0</v>
      </c>
      <c r="R58" s="608">
        <f t="shared" si="11"/>
        <v>4600.58</v>
      </c>
      <c r="S58" s="608">
        <f t="shared" si="11"/>
        <v>0</v>
      </c>
      <c r="T58" s="608">
        <f t="shared" si="11"/>
        <v>2807.56</v>
      </c>
      <c r="U58" s="608">
        <f t="shared" si="11"/>
        <v>2837.27</v>
      </c>
      <c r="V58" s="608">
        <f t="shared" si="11"/>
        <v>0</v>
      </c>
      <c r="W58" s="608">
        <f t="shared" si="11"/>
        <v>0</v>
      </c>
      <c r="X58" s="608">
        <f t="shared" si="11"/>
        <v>0</v>
      </c>
      <c r="Y58" s="608">
        <f t="shared" si="11"/>
        <v>0</v>
      </c>
      <c r="Z58" s="608">
        <f t="shared" si="11"/>
        <v>1706.0677966101696</v>
      </c>
      <c r="AA58" s="608">
        <f t="shared" si="11"/>
        <v>3043.8050016960765</v>
      </c>
      <c r="AB58" s="608">
        <f t="shared" si="11"/>
        <v>5365.9237288135591</v>
      </c>
      <c r="AC58" s="608">
        <f t="shared" si="11"/>
        <v>0</v>
      </c>
      <c r="AD58" s="608">
        <f t="shared" si="11"/>
        <v>3898.7966101694915</v>
      </c>
      <c r="AE58" s="608">
        <f t="shared" si="11"/>
        <v>0</v>
      </c>
      <c r="AF58" s="608">
        <f t="shared" si="11"/>
        <v>2379.2881355932204</v>
      </c>
      <c r="AG58" s="608">
        <f t="shared" si="11"/>
        <v>2404.4661016949153</v>
      </c>
      <c r="AH58" s="608">
        <f t="shared" si="11"/>
        <v>0</v>
      </c>
      <c r="AI58" s="608">
        <f t="shared" si="11"/>
        <v>18798.347374577432</v>
      </c>
      <c r="AJ58" s="608" t="e">
        <f>#REF!</f>
        <v>#REF!</v>
      </c>
    </row>
    <row r="59" spans="1:36" s="595" customFormat="1" ht="12" hidden="1" x14ac:dyDescent="0.2">
      <c r="C59" s="600"/>
      <c r="D59" s="600"/>
      <c r="E59" s="601"/>
      <c r="F59" s="601"/>
      <c r="G59" s="601"/>
      <c r="H59" s="601"/>
      <c r="I59" s="602"/>
      <c r="J59" s="602" t="s">
        <v>1286</v>
      </c>
      <c r="K59" s="710">
        <v>22182.05</v>
      </c>
      <c r="L59" s="711"/>
    </row>
    <row r="60" spans="1:36" s="595" customFormat="1" ht="10.5" hidden="1" customHeight="1" x14ac:dyDescent="0.2">
      <c r="B60" s="602"/>
      <c r="C60" s="602"/>
      <c r="D60" s="602"/>
      <c r="E60" s="702"/>
      <c r="F60" s="702"/>
      <c r="G60" s="702"/>
      <c r="H60" s="702"/>
      <c r="I60" s="602"/>
      <c r="J60" s="602"/>
    </row>
    <row r="61" spans="1:36" s="595" customFormat="1" ht="30.6" hidden="1" customHeight="1" x14ac:dyDescent="0.2">
      <c r="B61" s="600" t="s">
        <v>941</v>
      </c>
      <c r="C61" s="602"/>
      <c r="D61" s="602"/>
      <c r="E61" s="893"/>
      <c r="F61" s="893"/>
      <c r="G61" s="893"/>
      <c r="H61" s="893"/>
      <c r="I61" s="602"/>
      <c r="J61" s="602"/>
    </row>
    <row r="62" spans="1:36" s="595" customFormat="1" ht="10.5" hidden="1" customHeight="1" x14ac:dyDescent="0.2">
      <c r="B62" s="602"/>
      <c r="C62" s="602"/>
      <c r="D62" s="602"/>
      <c r="E62" s="696"/>
      <c r="F62" s="696"/>
      <c r="G62" s="696"/>
      <c r="H62" s="696"/>
      <c r="I62" s="602"/>
      <c r="J62" s="602"/>
    </row>
    <row r="63" spans="1:36" s="595" customFormat="1" ht="10.5" hidden="1" customHeight="1" x14ac:dyDescent="0.2">
      <c r="B63" s="602"/>
      <c r="C63" s="602"/>
      <c r="D63" s="602"/>
      <c r="E63" s="973" t="s">
        <v>942</v>
      </c>
      <c r="F63" s="973"/>
      <c r="G63" s="973"/>
      <c r="H63" s="973"/>
      <c r="I63" s="602"/>
      <c r="J63" s="602"/>
    </row>
    <row r="64" spans="1:36" s="594" customFormat="1" ht="12" x14ac:dyDescent="0.2">
      <c r="B64" s="600"/>
      <c r="C64" s="600"/>
      <c r="D64" s="600"/>
      <c r="E64" s="975"/>
      <c r="F64" s="975"/>
      <c r="G64" s="975"/>
      <c r="H64" s="975"/>
      <c r="I64" s="603"/>
      <c r="J64" s="600"/>
      <c r="K64" s="712"/>
      <c r="L64" s="712"/>
      <c r="M64" s="712"/>
      <c r="N64" s="712"/>
      <c r="O64" s="712"/>
      <c r="P64" s="712"/>
      <c r="Q64" s="712"/>
      <c r="R64" s="712"/>
      <c r="S64" s="712"/>
      <c r="T64" s="712"/>
      <c r="U64" s="712"/>
      <c r="V64" s="712"/>
    </row>
    <row r="65" spans="2:16" s="595" customFormat="1" ht="12" x14ac:dyDescent="0.2">
      <c r="B65" s="602"/>
      <c r="C65" s="602"/>
      <c r="D65" s="602"/>
      <c r="E65" s="973"/>
      <c r="F65" s="973"/>
      <c r="G65" s="973"/>
      <c r="H65" s="973"/>
      <c r="I65" s="602"/>
      <c r="J65" s="602"/>
      <c r="K65" s="712"/>
      <c r="L65" s="712"/>
      <c r="M65" s="712"/>
      <c r="N65" s="712"/>
      <c r="O65" s="712"/>
      <c r="P65" s="712"/>
    </row>
    <row r="66" spans="2:16" x14ac:dyDescent="0.2">
      <c r="B66" s="577"/>
      <c r="C66" s="577"/>
      <c r="D66" s="577"/>
      <c r="E66" s="577"/>
      <c r="F66" s="577"/>
      <c r="G66" s="577"/>
      <c r="H66" s="577"/>
      <c r="I66" s="577"/>
      <c r="J66" s="577"/>
    </row>
  </sheetData>
  <mergeCells count="70">
    <mergeCell ref="S1:X1"/>
    <mergeCell ref="S3:X4"/>
    <mergeCell ref="AJ12:AJ15"/>
    <mergeCell ref="AI11:AJ11"/>
    <mergeCell ref="Y12:Y15"/>
    <mergeCell ref="Z12:Z15"/>
    <mergeCell ref="AA12:AA15"/>
    <mergeCell ref="AB12:AB15"/>
    <mergeCell ref="AC12:AC15"/>
    <mergeCell ref="AD12:AD15"/>
    <mergeCell ref="AE12:AE15"/>
    <mergeCell ref="AF12:AF15"/>
    <mergeCell ref="AG12:AG15"/>
    <mergeCell ref="AH12:AH15"/>
    <mergeCell ref="Y11:AB11"/>
    <mergeCell ref="AC11:AH11"/>
    <mergeCell ref="AI12:AI15"/>
    <mergeCell ref="A48:J48"/>
    <mergeCell ref="A27:X27"/>
    <mergeCell ref="A31:J31"/>
    <mergeCell ref="A42:J42"/>
    <mergeCell ref="A43:X43"/>
    <mergeCell ref="A32:X32"/>
    <mergeCell ref="A33:X33"/>
    <mergeCell ref="A35:X35"/>
    <mergeCell ref="I10:I15"/>
    <mergeCell ref="J10:J15"/>
    <mergeCell ref="A28:X28"/>
    <mergeCell ref="C7:X7"/>
    <mergeCell ref="M11:V11"/>
    <mergeCell ref="F11:F15"/>
    <mergeCell ref="E65:H65"/>
    <mergeCell ref="A50:X50"/>
    <mergeCell ref="A53:X53"/>
    <mergeCell ref="A56:J56"/>
    <mergeCell ref="A57:J57"/>
    <mergeCell ref="E64:H64"/>
    <mergeCell ref="A58:J58"/>
    <mergeCell ref="E63:H63"/>
    <mergeCell ref="A49:X49"/>
    <mergeCell ref="A22:X22"/>
    <mergeCell ref="A25:X25"/>
    <mergeCell ref="A26:J26"/>
    <mergeCell ref="I8:J8"/>
    <mergeCell ref="A18:X18"/>
    <mergeCell ref="K11:K15"/>
    <mergeCell ref="L11:L15"/>
    <mergeCell ref="W11:W15"/>
    <mergeCell ref="A10:A15"/>
    <mergeCell ref="B10:B15"/>
    <mergeCell ref="C10:C15"/>
    <mergeCell ref="D10:D15"/>
    <mergeCell ref="E10:H10"/>
    <mergeCell ref="V12:V15"/>
    <mergeCell ref="A20:X20"/>
    <mergeCell ref="K10:X10"/>
    <mergeCell ref="A17:X17"/>
    <mergeCell ref="X11:X15"/>
    <mergeCell ref="M12:M15"/>
    <mergeCell ref="N12:N15"/>
    <mergeCell ref="O12:O15"/>
    <mergeCell ref="P12:P15"/>
    <mergeCell ref="Q12:Q15"/>
    <mergeCell ref="R12:R15"/>
    <mergeCell ref="S12:S15"/>
    <mergeCell ref="T12:T15"/>
    <mergeCell ref="U12:U15"/>
    <mergeCell ref="G11:H11"/>
    <mergeCell ref="A5:X5"/>
    <mergeCell ref="A6:X6"/>
  </mergeCells>
  <printOptions horizontalCentered="1"/>
  <pageMargins left="0.19685039370078741" right="0.19685039370078741" top="0.47244094488188981" bottom="0.27559055118110237" header="0.31496062992125984" footer="0.19685039370078741"/>
  <pageSetup paperSize="9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"/>
  <sheetViews>
    <sheetView view="pageBreakPreview" zoomScale="60" zoomScaleNormal="60" workbookViewId="0">
      <selection activeCell="X4" sqref="X4"/>
    </sheetView>
  </sheetViews>
  <sheetFormatPr defaultColWidth="9" defaultRowHeight="15" outlineLevelRow="1" x14ac:dyDescent="0.25"/>
  <cols>
    <col min="1" max="1" width="7.25" style="623" customWidth="1"/>
    <col min="2" max="2" width="33.625" style="624" customWidth="1"/>
    <col min="3" max="3" width="16.25" style="624" customWidth="1"/>
    <col min="4" max="4" width="16" style="624" customWidth="1"/>
    <col min="5" max="5" width="9.625" style="624" customWidth="1"/>
    <col min="6" max="8" width="7.75" style="624" customWidth="1"/>
    <col min="9" max="9" width="13.75" style="624" customWidth="1"/>
    <col min="10" max="10" width="10.125" style="624" customWidth="1"/>
    <col min="11" max="11" width="8.375" style="624" customWidth="1"/>
    <col min="12" max="12" width="16" style="624" hidden="1" customWidth="1"/>
    <col min="13" max="13" width="11.625" style="624" hidden="1" customWidth="1"/>
    <col min="14" max="14" width="16.875" style="624" hidden="1" customWidth="1"/>
    <col min="15" max="15" width="13.25" style="624" hidden="1" customWidth="1"/>
    <col min="16" max="16" width="18.375" style="624" hidden="1" customWidth="1"/>
    <col min="17" max="17" width="15" style="624" hidden="1" customWidth="1"/>
    <col min="18" max="18" width="14.75" style="624" bestFit="1" customWidth="1"/>
    <col min="19" max="19" width="14.625" style="624" bestFit="1" customWidth="1"/>
    <col min="20" max="20" width="13.75" style="624" hidden="1" customWidth="1"/>
    <col min="21" max="21" width="14.25" style="624" hidden="1" customWidth="1"/>
    <col min="22" max="22" width="46.75" style="630" customWidth="1"/>
    <col min="23" max="23" width="14.5" style="630" customWidth="1"/>
    <col min="24" max="24" width="27.75" style="630" customWidth="1"/>
    <col min="25" max="25" width="9.25" style="624" hidden="1" customWidth="1"/>
    <col min="26" max="26" width="7.625" style="624" hidden="1" customWidth="1"/>
    <col min="27" max="27" width="8" style="624" hidden="1" customWidth="1"/>
    <col min="28" max="28" width="11.875" style="624" hidden="1" customWidth="1"/>
    <col min="29" max="16384" width="9" style="623"/>
  </cols>
  <sheetData>
    <row r="1" spans="1:28" ht="23.25" outlineLevel="1" x14ac:dyDescent="0.3">
      <c r="P1" s="625"/>
      <c r="Q1" s="625"/>
      <c r="R1" s="625"/>
      <c r="S1" s="626"/>
      <c r="T1" s="627"/>
      <c r="U1" s="627"/>
      <c r="V1" s="627"/>
      <c r="W1" s="623"/>
      <c r="X1" s="412" t="s">
        <v>92</v>
      </c>
      <c r="Y1" s="623"/>
      <c r="Z1" s="623"/>
      <c r="AA1" s="623"/>
      <c r="AB1" s="623"/>
    </row>
    <row r="2" spans="1:28" ht="23.25" outlineLevel="1" x14ac:dyDescent="0.35">
      <c r="P2" s="625"/>
      <c r="Q2" s="625"/>
      <c r="R2" s="625"/>
      <c r="S2" s="628"/>
      <c r="T2" s="628"/>
      <c r="U2" s="628"/>
      <c r="V2" s="628"/>
      <c r="W2" s="623"/>
      <c r="X2" s="412" t="s">
        <v>988</v>
      </c>
      <c r="Y2" s="623"/>
      <c r="Z2" s="623"/>
      <c r="AA2" s="623"/>
      <c r="AB2" s="623"/>
    </row>
    <row r="3" spans="1:28" ht="16.899999999999999" customHeight="1" outlineLevel="1" x14ac:dyDescent="0.35">
      <c r="P3" s="625"/>
      <c r="Q3" s="625"/>
      <c r="R3" s="625"/>
      <c r="S3" s="998"/>
      <c r="T3" s="998"/>
      <c r="U3" s="998"/>
      <c r="V3" s="998"/>
      <c r="W3" s="998"/>
      <c r="X3" s="629"/>
      <c r="Y3" s="623"/>
      <c r="Z3" s="623"/>
      <c r="AA3" s="623"/>
      <c r="AB3" s="623"/>
    </row>
    <row r="4" spans="1:28" ht="23.25" outlineLevel="1" x14ac:dyDescent="0.35">
      <c r="P4" s="625"/>
      <c r="Q4" s="625"/>
      <c r="R4" s="625"/>
      <c r="S4" s="630"/>
      <c r="T4" s="631"/>
      <c r="U4" s="631"/>
      <c r="V4" s="631"/>
      <c r="W4" s="623"/>
      <c r="X4" s="412" t="s">
        <v>991</v>
      </c>
      <c r="Y4" s="623"/>
      <c r="Z4" s="623"/>
      <c r="AA4" s="623"/>
      <c r="AB4" s="623"/>
    </row>
    <row r="5" spans="1:28" ht="23.25" outlineLevel="1" x14ac:dyDescent="0.35">
      <c r="P5" s="625"/>
      <c r="Q5" s="625"/>
      <c r="R5" s="625"/>
      <c r="S5" s="632"/>
      <c r="T5" s="632"/>
      <c r="U5" s="632"/>
      <c r="V5" s="632"/>
      <c r="W5" s="623"/>
      <c r="X5" s="412" t="s">
        <v>987</v>
      </c>
      <c r="Y5" s="623"/>
      <c r="Z5" s="623"/>
      <c r="AA5" s="623"/>
      <c r="AB5" s="623"/>
    </row>
    <row r="6" spans="1:28" ht="28.9" customHeight="1" x14ac:dyDescent="0.3">
      <c r="P6" s="625"/>
      <c r="Q6" s="625"/>
      <c r="R6" s="625"/>
      <c r="S6" s="625"/>
      <c r="T6" s="625"/>
      <c r="U6" s="625"/>
      <c r="X6" s="412" t="s">
        <v>92</v>
      </c>
      <c r="Y6" s="625"/>
      <c r="Z6" s="625"/>
      <c r="AA6" s="625"/>
      <c r="AB6" s="593"/>
    </row>
    <row r="7" spans="1:28" ht="17.25" customHeight="1" x14ac:dyDescent="0.3">
      <c r="P7" s="625"/>
      <c r="Q7" s="625"/>
      <c r="R7" s="625"/>
      <c r="S7" s="625"/>
      <c r="T7" s="625"/>
      <c r="U7" s="625"/>
      <c r="X7" s="412" t="s">
        <v>986</v>
      </c>
      <c r="Y7" s="625"/>
      <c r="Z7" s="625"/>
      <c r="AA7" s="625"/>
      <c r="AB7" s="593"/>
    </row>
    <row r="8" spans="1:28" ht="17.25" customHeight="1" x14ac:dyDescent="0.3">
      <c r="P8" s="625"/>
      <c r="Q8" s="625"/>
      <c r="R8" s="625"/>
      <c r="S8" s="625"/>
      <c r="T8" s="625"/>
      <c r="U8" s="625"/>
      <c r="X8" s="629"/>
      <c r="Y8" s="625"/>
      <c r="Z8" s="625"/>
      <c r="AA8" s="625"/>
      <c r="AB8" s="593"/>
    </row>
    <row r="9" spans="1:28" ht="17.25" customHeight="1" x14ac:dyDescent="0.3">
      <c r="P9" s="625"/>
      <c r="Q9" s="625"/>
      <c r="R9" s="625"/>
      <c r="S9" s="625"/>
      <c r="T9" s="625"/>
      <c r="U9" s="625"/>
      <c r="X9" s="412" t="s">
        <v>879</v>
      </c>
      <c r="Y9" s="625"/>
      <c r="Z9" s="625"/>
      <c r="AA9" s="625"/>
      <c r="AB9" s="593"/>
    </row>
    <row r="10" spans="1:28" ht="30.6" customHeight="1" x14ac:dyDescent="0.3">
      <c r="P10" s="625"/>
      <c r="Q10" s="625"/>
      <c r="R10" s="625"/>
      <c r="S10" s="625"/>
      <c r="T10" s="625"/>
      <c r="U10" s="625"/>
      <c r="X10" s="412" t="s">
        <v>987</v>
      </c>
      <c r="Y10" s="625"/>
      <c r="Z10" s="625"/>
      <c r="AA10" s="625"/>
      <c r="AB10" s="593"/>
    </row>
    <row r="11" spans="1:28" ht="17.25" customHeight="1" x14ac:dyDescent="0.25">
      <c r="P11" s="625"/>
      <c r="Q11" s="625"/>
      <c r="R11" s="625"/>
      <c r="S11" s="625"/>
      <c r="T11" s="625"/>
      <c r="U11" s="625"/>
      <c r="X11" s="633"/>
      <c r="Y11" s="625"/>
      <c r="Z11" s="625"/>
      <c r="AA11" s="625"/>
      <c r="AB11" s="593"/>
    </row>
    <row r="12" spans="1:28" s="634" customFormat="1" ht="27" x14ac:dyDescent="0.35">
      <c r="A12" s="999" t="s">
        <v>956</v>
      </c>
      <c r="B12" s="999"/>
      <c r="C12" s="999"/>
      <c r="D12" s="999"/>
      <c r="E12" s="999"/>
      <c r="F12" s="999"/>
      <c r="G12" s="999"/>
      <c r="H12" s="999"/>
      <c r="I12" s="999"/>
      <c r="J12" s="999"/>
      <c r="K12" s="999"/>
      <c r="L12" s="999"/>
      <c r="M12" s="999"/>
      <c r="N12" s="999"/>
      <c r="O12" s="999"/>
      <c r="P12" s="999"/>
      <c r="Q12" s="999"/>
      <c r="R12" s="999"/>
      <c r="S12" s="999"/>
      <c r="T12" s="999"/>
      <c r="U12" s="999"/>
      <c r="V12" s="999"/>
      <c r="W12" s="999"/>
      <c r="X12" s="999"/>
      <c r="Y12" s="999"/>
      <c r="Z12" s="999"/>
      <c r="AA12" s="999"/>
      <c r="AB12" s="999"/>
    </row>
    <row r="13" spans="1:28" ht="39" customHeight="1" thickBot="1" x14ac:dyDescent="0.3">
      <c r="A13" s="635" t="s">
        <v>849</v>
      </c>
    </row>
    <row r="14" spans="1:28" s="624" customFormat="1" ht="44.45" customHeight="1" x14ac:dyDescent="0.25">
      <c r="A14" s="1000" t="s">
        <v>77</v>
      </c>
      <c r="B14" s="997" t="s">
        <v>83</v>
      </c>
      <c r="C14" s="997" t="s">
        <v>957</v>
      </c>
      <c r="D14" s="997" t="s">
        <v>958</v>
      </c>
      <c r="E14" s="1004" t="s">
        <v>75</v>
      </c>
      <c r="F14" s="1005"/>
      <c r="G14" s="1005"/>
      <c r="H14" s="1006"/>
      <c r="I14" s="1007" t="s">
        <v>959</v>
      </c>
      <c r="J14" s="997" t="s">
        <v>76</v>
      </c>
      <c r="K14" s="997"/>
      <c r="L14" s="997" t="s">
        <v>86</v>
      </c>
      <c r="M14" s="997"/>
      <c r="N14" s="997"/>
      <c r="O14" s="997"/>
      <c r="P14" s="997" t="s">
        <v>960</v>
      </c>
      <c r="Q14" s="997" t="s">
        <v>961</v>
      </c>
      <c r="R14" s="997" t="s">
        <v>962</v>
      </c>
      <c r="S14" s="997"/>
      <c r="T14" s="997" t="s">
        <v>963</v>
      </c>
      <c r="U14" s="997"/>
      <c r="V14" s="1012" t="s">
        <v>964</v>
      </c>
      <c r="W14" s="1012"/>
      <c r="X14" s="1012"/>
      <c r="Y14" s="997" t="s">
        <v>965</v>
      </c>
      <c r="Z14" s="997"/>
      <c r="AA14" s="997"/>
      <c r="AB14" s="1010"/>
    </row>
    <row r="15" spans="1:28" s="624" customFormat="1" ht="39.6" customHeight="1" x14ac:dyDescent="0.25">
      <c r="A15" s="1001"/>
      <c r="B15" s="994"/>
      <c r="C15" s="994"/>
      <c r="D15" s="994"/>
      <c r="E15" s="994" t="s">
        <v>966</v>
      </c>
      <c r="F15" s="994" t="s">
        <v>81</v>
      </c>
      <c r="G15" s="994" t="s">
        <v>967</v>
      </c>
      <c r="H15" s="995" t="s">
        <v>968</v>
      </c>
      <c r="I15" s="1008"/>
      <c r="J15" s="994" t="s">
        <v>84</v>
      </c>
      <c r="K15" s="994" t="s">
        <v>85</v>
      </c>
      <c r="L15" s="994" t="s">
        <v>89</v>
      </c>
      <c r="M15" s="994" t="s">
        <v>78</v>
      </c>
      <c r="N15" s="994" t="s">
        <v>90</v>
      </c>
      <c r="O15" s="994" t="s">
        <v>79</v>
      </c>
      <c r="P15" s="994"/>
      <c r="Q15" s="994"/>
      <c r="R15" s="994" t="s">
        <v>969</v>
      </c>
      <c r="S15" s="994" t="s">
        <v>970</v>
      </c>
      <c r="T15" s="994" t="s">
        <v>971</v>
      </c>
      <c r="U15" s="994" t="s">
        <v>970</v>
      </c>
      <c r="V15" s="994" t="s">
        <v>972</v>
      </c>
      <c r="W15" s="994" t="s">
        <v>973</v>
      </c>
      <c r="X15" s="994" t="s">
        <v>974</v>
      </c>
      <c r="Y15" s="994" t="s">
        <v>975</v>
      </c>
      <c r="Z15" s="994"/>
      <c r="AA15" s="994" t="s">
        <v>976</v>
      </c>
      <c r="AB15" s="1011"/>
    </row>
    <row r="16" spans="1:28" ht="46.9" customHeight="1" x14ac:dyDescent="0.25">
      <c r="A16" s="1002"/>
      <c r="B16" s="1003"/>
      <c r="C16" s="994"/>
      <c r="D16" s="994"/>
      <c r="E16" s="994"/>
      <c r="F16" s="994"/>
      <c r="G16" s="994"/>
      <c r="H16" s="996"/>
      <c r="I16" s="1009"/>
      <c r="J16" s="994"/>
      <c r="K16" s="994"/>
      <c r="L16" s="994"/>
      <c r="M16" s="994"/>
      <c r="N16" s="994"/>
      <c r="O16" s="994"/>
      <c r="P16" s="994"/>
      <c r="Q16" s="994"/>
      <c r="R16" s="994"/>
      <c r="S16" s="994"/>
      <c r="T16" s="994"/>
      <c r="U16" s="994"/>
      <c r="V16" s="994"/>
      <c r="W16" s="994"/>
      <c r="X16" s="994"/>
      <c r="Y16" s="621" t="s">
        <v>977</v>
      </c>
      <c r="Z16" s="621" t="s">
        <v>978</v>
      </c>
      <c r="AA16" s="636" t="s">
        <v>979</v>
      </c>
      <c r="AB16" s="637" t="s">
        <v>980</v>
      </c>
    </row>
    <row r="17" spans="1:28" s="650" customFormat="1" ht="48.75" customHeight="1" x14ac:dyDescent="0.25">
      <c r="A17" s="638" t="s">
        <v>313</v>
      </c>
      <c r="B17" s="639"/>
      <c r="C17" s="640" t="s">
        <v>981</v>
      </c>
      <c r="D17" s="641"/>
      <c r="E17" s="622"/>
      <c r="F17" s="642"/>
      <c r="G17" s="641"/>
      <c r="H17" s="641"/>
      <c r="I17" s="641"/>
      <c r="J17" s="622"/>
      <c r="K17" s="622"/>
      <c r="L17" s="643"/>
      <c r="M17" s="643"/>
      <c r="N17" s="643"/>
      <c r="O17" s="643"/>
      <c r="P17" s="643"/>
      <c r="Q17" s="643"/>
      <c r="R17" s="644"/>
      <c r="S17" s="645"/>
      <c r="T17" s="643"/>
      <c r="U17" s="643"/>
      <c r="V17" s="646"/>
      <c r="W17" s="647"/>
      <c r="X17" s="646"/>
      <c r="Y17" s="647"/>
      <c r="Z17" s="648"/>
      <c r="AA17" s="648"/>
      <c r="AB17" s="649"/>
    </row>
    <row r="18" spans="1:28" s="650" customFormat="1" ht="15.75" x14ac:dyDescent="0.25">
      <c r="A18" s="651" t="s">
        <v>982</v>
      </c>
      <c r="B18" s="639"/>
      <c r="C18" s="640" t="s">
        <v>981</v>
      </c>
      <c r="D18" s="641"/>
      <c r="E18" s="641"/>
      <c r="F18" s="641"/>
      <c r="G18" s="641"/>
      <c r="H18" s="622"/>
      <c r="I18" s="641"/>
      <c r="J18" s="622"/>
      <c r="K18" s="622"/>
      <c r="L18" s="652"/>
      <c r="M18" s="652"/>
      <c r="N18" s="652"/>
      <c r="O18" s="652"/>
      <c r="P18" s="652"/>
      <c r="Q18" s="652"/>
      <c r="R18" s="644"/>
      <c r="S18" s="641"/>
      <c r="T18" s="652"/>
      <c r="U18" s="652"/>
      <c r="V18" s="641"/>
      <c r="W18" s="647"/>
      <c r="X18" s="641"/>
      <c r="Y18" s="641"/>
      <c r="Z18" s="641"/>
      <c r="AA18" s="653"/>
      <c r="AB18" s="654"/>
    </row>
    <row r="20" spans="1:28" ht="76.5" customHeight="1" x14ac:dyDescent="0.25">
      <c r="B20" s="993" t="s">
        <v>983</v>
      </c>
      <c r="C20" s="993"/>
      <c r="D20" s="993"/>
      <c r="E20" s="993"/>
      <c r="F20" s="993"/>
      <c r="G20" s="993"/>
      <c r="H20" s="993"/>
      <c r="I20" s="993"/>
      <c r="J20" s="993"/>
      <c r="K20" s="993"/>
      <c r="L20" s="993"/>
      <c r="M20" s="993"/>
      <c r="N20" s="993"/>
      <c r="O20" s="993"/>
      <c r="P20" s="993"/>
      <c r="Q20" s="993"/>
      <c r="R20" s="993"/>
      <c r="S20" s="993"/>
      <c r="T20" s="993"/>
      <c r="U20" s="993"/>
      <c r="V20" s="993"/>
      <c r="W20" s="993"/>
      <c r="X20" s="993"/>
      <c r="Y20" s="993"/>
      <c r="Z20" s="993"/>
      <c r="AA20" s="993"/>
      <c r="AB20" s="993"/>
    </row>
    <row r="21" spans="1:28" x14ac:dyDescent="0.25">
      <c r="B21" s="624" t="s">
        <v>984</v>
      </c>
      <c r="X21" s="655"/>
    </row>
    <row r="22" spans="1:28" x14ac:dyDescent="0.25">
      <c r="B22" s="623"/>
    </row>
    <row r="24" spans="1:28" s="656" customFormat="1" ht="87.75" customHeight="1" x14ac:dyDescent="0.25">
      <c r="D24" s="657" t="s">
        <v>985</v>
      </c>
      <c r="E24" s="657"/>
      <c r="F24" s="657"/>
      <c r="G24" s="657"/>
      <c r="H24" s="657"/>
      <c r="I24" s="657"/>
      <c r="J24" s="657"/>
      <c r="K24" s="657"/>
      <c r="L24" s="657"/>
      <c r="M24" s="657"/>
      <c r="N24" s="657"/>
      <c r="O24" s="657"/>
      <c r="P24" s="657"/>
      <c r="W24" s="658"/>
      <c r="X24" s="658"/>
    </row>
  </sheetData>
  <mergeCells count="36">
    <mergeCell ref="X15:X16"/>
    <mergeCell ref="R14:S14"/>
    <mergeCell ref="T14:U14"/>
    <mergeCell ref="V14:X14"/>
    <mergeCell ref="S3:W3"/>
    <mergeCell ref="A12:AB12"/>
    <mergeCell ref="A14:A16"/>
    <mergeCell ref="B14:B16"/>
    <mergeCell ref="C14:C16"/>
    <mergeCell ref="D14:D16"/>
    <mergeCell ref="E14:H14"/>
    <mergeCell ref="I14:I16"/>
    <mergeCell ref="J14:K14"/>
    <mergeCell ref="L14:O14"/>
    <mergeCell ref="Y14:AB14"/>
    <mergeCell ref="T15:T16"/>
    <mergeCell ref="Y15:Z15"/>
    <mergeCell ref="AA15:AB15"/>
    <mergeCell ref="U15:U16"/>
    <mergeCell ref="V15:V16"/>
    <mergeCell ref="B20:AB20"/>
    <mergeCell ref="L15:L16"/>
    <mergeCell ref="M15:M16"/>
    <mergeCell ref="N15:N16"/>
    <mergeCell ref="O15:O16"/>
    <mergeCell ref="R15:R16"/>
    <mergeCell ref="S15:S16"/>
    <mergeCell ref="E15:E16"/>
    <mergeCell ref="F15:F16"/>
    <mergeCell ref="G15:G16"/>
    <mergeCell ref="H15:H16"/>
    <mergeCell ref="J15:J16"/>
    <mergeCell ref="K15:K16"/>
    <mergeCell ref="Q14:Q16"/>
    <mergeCell ref="W15:W16"/>
    <mergeCell ref="P14:P16"/>
  </mergeCells>
  <pageMargins left="0.19685039370078741" right="0.70866141732283472" top="0.43307086614173229" bottom="0.27559055118110237" header="0.31496062992125984" footer="0.19685039370078741"/>
  <pageSetup paperSize="9" scale="50" fitToHeight="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view="pageBreakPreview" zoomScaleNormal="100" zoomScaleSheetLayoutView="100" workbookViewId="0">
      <selection activeCell="Y3" sqref="Y3"/>
    </sheetView>
  </sheetViews>
  <sheetFormatPr defaultColWidth="0.75" defaultRowHeight="12.75" x14ac:dyDescent="0.2"/>
  <cols>
    <col min="1" max="1" width="4.125" style="537" customWidth="1"/>
    <col min="2" max="2" width="27.5" style="537" customWidth="1"/>
    <col min="3" max="3" width="14.875" style="537" customWidth="1"/>
    <col min="4" max="4" width="8.375" style="537" customWidth="1"/>
    <col min="5" max="5" width="10.875" style="537" customWidth="1"/>
    <col min="6" max="7" width="7.625" style="537" bestFit="1" customWidth="1"/>
    <col min="8" max="13" width="6.5" style="537" customWidth="1"/>
    <col min="14" max="14" width="6.625" style="537" customWidth="1"/>
    <col min="15" max="15" width="5.125" style="537" customWidth="1"/>
    <col min="16" max="16384" width="0.75" style="537"/>
  </cols>
  <sheetData>
    <row r="1" spans="1:14" ht="56.25" customHeight="1" x14ac:dyDescent="0.2">
      <c r="K1" s="1243" t="s">
        <v>1295</v>
      </c>
      <c r="L1" s="1243"/>
      <c r="M1" s="1243"/>
      <c r="N1" s="1243"/>
    </row>
    <row r="3" spans="1:14" s="594" customFormat="1" ht="51.75" customHeight="1" x14ac:dyDescent="0.2">
      <c r="K3" s="1243" t="s">
        <v>1296</v>
      </c>
      <c r="L3" s="1243"/>
      <c r="M3" s="1243"/>
      <c r="N3" s="1243"/>
    </row>
    <row r="4" spans="1:14" s="595" customFormat="1" ht="12" x14ac:dyDescent="0.2"/>
    <row r="5" spans="1:14" s="596" customFormat="1" x14ac:dyDescent="0.2">
      <c r="A5" s="1019" t="s">
        <v>1071</v>
      </c>
      <c r="B5" s="1019"/>
      <c r="C5" s="1019"/>
      <c r="D5" s="1019"/>
      <c r="E5" s="1019"/>
      <c r="F5" s="1019"/>
      <c r="G5" s="1019"/>
      <c r="H5" s="1019"/>
      <c r="I5" s="1019"/>
      <c r="J5" s="1019"/>
      <c r="K5" s="1019"/>
      <c r="L5" s="829"/>
      <c r="M5" s="829"/>
      <c r="N5" s="829"/>
    </row>
    <row r="6" spans="1:14" s="596" customFormat="1" x14ac:dyDescent="0.2">
      <c r="B6" s="1020" t="s">
        <v>1072</v>
      </c>
      <c r="C6" s="1020"/>
      <c r="D6" s="1020"/>
      <c r="E6" s="1020"/>
      <c r="F6" s="1020"/>
      <c r="G6" s="1020"/>
      <c r="H6" s="1020"/>
      <c r="I6" s="1020"/>
      <c r="J6" s="1020"/>
      <c r="K6" s="1020"/>
      <c r="L6" s="828"/>
      <c r="M6" s="828"/>
      <c r="N6" s="828"/>
    </row>
    <row r="7" spans="1:14" s="596" customFormat="1" x14ac:dyDescent="0.2">
      <c r="A7" s="934" t="s">
        <v>1150</v>
      </c>
      <c r="B7" s="934"/>
      <c r="C7" s="934"/>
      <c r="D7" s="934"/>
      <c r="E7" s="934"/>
      <c r="F7" s="934"/>
      <c r="G7" s="934"/>
      <c r="H7" s="934"/>
      <c r="I7" s="934"/>
      <c r="J7" s="934"/>
      <c r="K7" s="934"/>
      <c r="L7" s="851"/>
      <c r="M7" s="851"/>
      <c r="N7" s="851"/>
    </row>
    <row r="8" spans="1:14" s="595" customFormat="1" x14ac:dyDescent="0.2">
      <c r="A8" s="709" t="s">
        <v>849</v>
      </c>
    </row>
    <row r="9" spans="1:14" s="735" customFormat="1" ht="10.5" customHeight="1" x14ac:dyDescent="0.15">
      <c r="A9" s="1024" t="s">
        <v>702</v>
      </c>
      <c r="B9" s="1027" t="s">
        <v>224</v>
      </c>
      <c r="C9" s="1027" t="s">
        <v>1073</v>
      </c>
      <c r="D9" s="1024" t="s">
        <v>1074</v>
      </c>
      <c r="E9" s="1014" t="s">
        <v>1075</v>
      </c>
      <c r="F9" s="1014"/>
      <c r="G9" s="1014"/>
      <c r="H9" s="1014"/>
      <c r="I9" s="1014"/>
      <c r="J9" s="1014"/>
      <c r="K9" s="1014"/>
      <c r="L9" s="1014"/>
      <c r="M9" s="1014"/>
      <c r="N9" s="1014"/>
    </row>
    <row r="10" spans="1:14" s="710" customFormat="1" ht="11.25" customHeight="1" x14ac:dyDescent="0.2">
      <c r="A10" s="1025"/>
      <c r="B10" s="1028"/>
      <c r="C10" s="1028"/>
      <c r="D10" s="1025"/>
      <c r="E10" s="1013" t="s">
        <v>1076</v>
      </c>
      <c r="F10" s="1014" t="s">
        <v>1077</v>
      </c>
      <c r="G10" s="1014"/>
      <c r="H10" s="1014"/>
      <c r="I10" s="1014"/>
      <c r="J10" s="1014"/>
      <c r="K10" s="1014"/>
      <c r="L10" s="1014"/>
      <c r="M10" s="1014"/>
      <c r="N10" s="1014"/>
    </row>
    <row r="11" spans="1:14" s="710" customFormat="1" ht="11.25" x14ac:dyDescent="0.2">
      <c r="A11" s="1026"/>
      <c r="B11" s="1029"/>
      <c r="C11" s="1029"/>
      <c r="D11" s="1026"/>
      <c r="E11" s="1013"/>
      <c r="F11" s="736" t="s">
        <v>900</v>
      </c>
      <c r="G11" s="736" t="s">
        <v>901</v>
      </c>
      <c r="H11" s="736" t="s">
        <v>902</v>
      </c>
      <c r="I11" s="736" t="s">
        <v>903</v>
      </c>
      <c r="J11" s="736" t="s">
        <v>904</v>
      </c>
      <c r="K11" s="736" t="s">
        <v>905</v>
      </c>
      <c r="L11" s="736" t="s">
        <v>906</v>
      </c>
      <c r="M11" s="736" t="s">
        <v>907</v>
      </c>
      <c r="N11" s="736" t="s">
        <v>1109</v>
      </c>
    </row>
    <row r="12" spans="1:14" s="710" customFormat="1" ht="11.25" x14ac:dyDescent="0.2">
      <c r="A12" s="737">
        <v>1</v>
      </c>
      <c r="B12" s="737">
        <v>2</v>
      </c>
      <c r="C12" s="737">
        <v>3</v>
      </c>
      <c r="D12" s="737">
        <v>4</v>
      </c>
      <c r="E12" s="738">
        <v>5</v>
      </c>
      <c r="F12" s="738">
        <v>6</v>
      </c>
      <c r="G12" s="738">
        <v>7</v>
      </c>
      <c r="H12" s="738">
        <v>8</v>
      </c>
      <c r="I12" s="738">
        <v>9</v>
      </c>
      <c r="J12" s="738">
        <v>10</v>
      </c>
      <c r="K12" s="738">
        <v>11</v>
      </c>
      <c r="L12" s="780"/>
      <c r="M12" s="780"/>
      <c r="N12" s="780"/>
    </row>
    <row r="13" spans="1:14" s="710" customFormat="1" ht="22.5" x14ac:dyDescent="0.2">
      <c r="A13" s="739">
        <v>1</v>
      </c>
      <c r="B13" s="740" t="s">
        <v>1078</v>
      </c>
      <c r="C13" s="741" t="s">
        <v>1079</v>
      </c>
      <c r="D13" s="742">
        <v>0.25903284671532845</v>
      </c>
      <c r="E13" s="743">
        <v>0.26459854014598538</v>
      </c>
      <c r="F13" s="743">
        <v>0.26459854014598538</v>
      </c>
      <c r="G13" s="743">
        <v>0.26459854014598538</v>
      </c>
      <c r="H13" s="743">
        <v>0.26459854014598538</v>
      </c>
      <c r="I13" s="743">
        <v>0.26459854014598538</v>
      </c>
      <c r="J13" s="743">
        <v>0.26459854014598538</v>
      </c>
      <c r="K13" s="743">
        <v>0.26459854014598538</v>
      </c>
      <c r="L13" s="743">
        <f>L14/$D$15</f>
        <v>0.26460006082725063</v>
      </c>
      <c r="M13" s="743">
        <f>M14/$D$15</f>
        <v>0.26460158150851582</v>
      </c>
      <c r="N13" s="743">
        <f>N14/$D$15</f>
        <v>0.264603102189781</v>
      </c>
    </row>
    <row r="14" spans="1:14" s="710" customFormat="1" ht="22.5" x14ac:dyDescent="0.2">
      <c r="A14" s="739" t="s">
        <v>1080</v>
      </c>
      <c r="B14" s="740" t="s">
        <v>1081</v>
      </c>
      <c r="C14" s="741" t="s">
        <v>1082</v>
      </c>
      <c r="D14" s="744">
        <v>170340</v>
      </c>
      <c r="E14" s="745">
        <v>174000</v>
      </c>
      <c r="F14" s="745">
        <v>174000</v>
      </c>
      <c r="G14" s="745">
        <v>174000</v>
      </c>
      <c r="H14" s="745">
        <v>174000</v>
      </c>
      <c r="I14" s="745">
        <v>174000</v>
      </c>
      <c r="J14" s="745">
        <v>174000</v>
      </c>
      <c r="K14" s="745">
        <v>174000</v>
      </c>
      <c r="L14" s="745">
        <v>174001</v>
      </c>
      <c r="M14" s="745">
        <v>174002</v>
      </c>
      <c r="N14" s="745">
        <v>174003</v>
      </c>
    </row>
    <row r="15" spans="1:14" s="710" customFormat="1" ht="11.25" x14ac:dyDescent="0.2">
      <c r="A15" s="739" t="s">
        <v>1083</v>
      </c>
      <c r="B15" s="740" t="s">
        <v>1084</v>
      </c>
      <c r="C15" s="741" t="s">
        <v>1085</v>
      </c>
      <c r="D15" s="746">
        <v>657600</v>
      </c>
      <c r="E15" s="747">
        <v>657600</v>
      </c>
      <c r="F15" s="747">
        <v>657600</v>
      </c>
      <c r="G15" s="747">
        <v>657600</v>
      </c>
      <c r="H15" s="747">
        <v>657600</v>
      </c>
      <c r="I15" s="747">
        <v>657600</v>
      </c>
      <c r="J15" s="747">
        <v>657600</v>
      </c>
      <c r="K15" s="747">
        <v>657600</v>
      </c>
      <c r="L15" s="747">
        <f t="shared" ref="L15:N15" si="0">0.68*40</f>
        <v>27.200000000000003</v>
      </c>
      <c r="M15" s="747">
        <f t="shared" si="0"/>
        <v>27.200000000000003</v>
      </c>
      <c r="N15" s="747">
        <f t="shared" si="0"/>
        <v>27.200000000000003</v>
      </c>
    </row>
    <row r="16" spans="1:14" s="710" customFormat="1" ht="11.25" customHeight="1" x14ac:dyDescent="0.2">
      <c r="A16" s="1015" t="s">
        <v>694</v>
      </c>
      <c r="B16" s="1017" t="s">
        <v>1086</v>
      </c>
      <c r="C16" s="741" t="s">
        <v>1087</v>
      </c>
      <c r="D16" s="748">
        <v>0.25290000000000001</v>
      </c>
      <c r="E16" s="748">
        <v>0.25290000000000001</v>
      </c>
      <c r="F16" s="748">
        <v>0.25290000000000001</v>
      </c>
      <c r="G16" s="748">
        <v>0.25290000000000001</v>
      </c>
      <c r="H16" s="748">
        <v>0.25290000000000001</v>
      </c>
      <c r="I16" s="748">
        <v>0.25290000000000001</v>
      </c>
      <c r="J16" s="748">
        <v>0.25290000000000001</v>
      </c>
      <c r="K16" s="748">
        <v>0.25290000000000001</v>
      </c>
      <c r="L16" s="749">
        <f t="shared" ref="L16:N16" si="1">L18/L19</f>
        <v>0.23512747875354106</v>
      </c>
      <c r="M16" s="749">
        <f t="shared" si="1"/>
        <v>0.23512747875354106</v>
      </c>
      <c r="N16" s="749">
        <f t="shared" si="1"/>
        <v>0.23512747875354106</v>
      </c>
    </row>
    <row r="17" spans="1:15" s="710" customFormat="1" ht="11.25" x14ac:dyDescent="0.2">
      <c r="A17" s="1016"/>
      <c r="B17" s="1018"/>
      <c r="C17" s="741" t="s">
        <v>1088</v>
      </c>
      <c r="D17" s="836">
        <v>9.312227189781022E-4</v>
      </c>
      <c r="E17" s="837">
        <v>9.5029790145985415E-4</v>
      </c>
      <c r="F17" s="837">
        <v>9.5029790145985415E-4</v>
      </c>
      <c r="G17" s="837">
        <v>9.5029790145985415E-4</v>
      </c>
      <c r="H17" s="837">
        <v>9.5029790145985415E-4</v>
      </c>
      <c r="I17" s="837">
        <v>9.5029790145985415E-4</v>
      </c>
      <c r="J17" s="837">
        <v>9.5029790145985415E-4</v>
      </c>
      <c r="K17" s="837">
        <v>9.5029790145985415E-4</v>
      </c>
      <c r="L17" s="837">
        <f t="shared" ref="L17:N17" si="2">L18/L15</f>
        <v>21.360294117647058</v>
      </c>
      <c r="M17" s="837">
        <f t="shared" si="2"/>
        <v>21.360294117647058</v>
      </c>
      <c r="N17" s="837">
        <f t="shared" si="2"/>
        <v>21.360294117647058</v>
      </c>
    </row>
    <row r="18" spans="1:15" s="710" customFormat="1" ht="11.25" x14ac:dyDescent="0.2">
      <c r="A18" s="739" t="s">
        <v>1089</v>
      </c>
      <c r="B18" s="740" t="s">
        <v>1090</v>
      </c>
      <c r="C18" s="741" t="s">
        <v>1091</v>
      </c>
      <c r="D18" s="751">
        <v>612.37206000000003</v>
      </c>
      <c r="E18" s="751">
        <v>624.91590000000008</v>
      </c>
      <c r="F18" s="751">
        <v>624.91590000000008</v>
      </c>
      <c r="G18" s="751">
        <v>624.91590000000008</v>
      </c>
      <c r="H18" s="751">
        <v>624.91590000000008</v>
      </c>
      <c r="I18" s="751">
        <v>624.91590000000008</v>
      </c>
      <c r="J18" s="751">
        <v>624.91590000000008</v>
      </c>
      <c r="K18" s="751">
        <v>624.91590000000008</v>
      </c>
      <c r="L18" s="747">
        <v>581</v>
      </c>
      <c r="M18" s="747">
        <v>581</v>
      </c>
      <c r="N18" s="747">
        <v>581</v>
      </c>
    </row>
    <row r="19" spans="1:15" s="710" customFormat="1" ht="22.5" x14ac:dyDescent="0.2">
      <c r="A19" s="739" t="s">
        <v>1092</v>
      </c>
      <c r="B19" s="740" t="s">
        <v>1093</v>
      </c>
      <c r="C19" s="741" t="s">
        <v>1094</v>
      </c>
      <c r="D19" s="746">
        <v>2421.4</v>
      </c>
      <c r="E19" s="747">
        <v>2471</v>
      </c>
      <c r="F19" s="747">
        <v>2471</v>
      </c>
      <c r="G19" s="747">
        <v>2471</v>
      </c>
      <c r="H19" s="747">
        <v>2471</v>
      </c>
      <c r="I19" s="747">
        <v>2471</v>
      </c>
      <c r="J19" s="747">
        <v>2471</v>
      </c>
      <c r="K19" s="747">
        <v>2471</v>
      </c>
      <c r="L19" s="747">
        <v>2471</v>
      </c>
      <c r="M19" s="747">
        <v>2471</v>
      </c>
      <c r="N19" s="747">
        <v>2471</v>
      </c>
    </row>
    <row r="20" spans="1:15" s="710" customFormat="1" ht="22.5" x14ac:dyDescent="0.2">
      <c r="A20" s="739" t="s">
        <v>695</v>
      </c>
      <c r="B20" s="740" t="s">
        <v>1095</v>
      </c>
      <c r="C20" s="741" t="s">
        <v>1015</v>
      </c>
      <c r="D20" s="741">
        <v>0</v>
      </c>
      <c r="E20" s="745">
        <v>0</v>
      </c>
      <c r="F20" s="745">
        <v>0</v>
      </c>
      <c r="G20" s="745">
        <v>0</v>
      </c>
      <c r="H20" s="745">
        <v>0</v>
      </c>
      <c r="I20" s="745">
        <v>0</v>
      </c>
      <c r="J20" s="745">
        <v>0</v>
      </c>
      <c r="K20" s="745">
        <v>0</v>
      </c>
      <c r="L20" s="745">
        <v>0</v>
      </c>
      <c r="M20" s="745">
        <v>0</v>
      </c>
      <c r="N20" s="745">
        <v>0</v>
      </c>
    </row>
    <row r="21" spans="1:15" ht="18.75" customHeight="1" x14ac:dyDescent="0.2">
      <c r="A21" s="1239" t="s">
        <v>700</v>
      </c>
      <c r="B21" s="740" t="s">
        <v>1288</v>
      </c>
      <c r="C21" s="1240" t="s">
        <v>535</v>
      </c>
      <c r="D21" s="1238">
        <v>0.51629999999999998</v>
      </c>
      <c r="E21" s="1238">
        <v>0.41779614256383879</v>
      </c>
      <c r="F21" s="1238">
        <v>0.18318209078859207</v>
      </c>
      <c r="G21" s="1238">
        <v>0.19526108694334768</v>
      </c>
      <c r="H21" s="1238">
        <v>0.2158562915650358</v>
      </c>
      <c r="I21" s="1238">
        <v>0.29979007642638583</v>
      </c>
      <c r="J21" s="1238">
        <v>0.31500463806577605</v>
      </c>
      <c r="K21" s="1238">
        <v>0.38893997661972396</v>
      </c>
      <c r="L21" s="1244">
        <v>0.45884650041582997</v>
      </c>
      <c r="M21" s="1244">
        <v>0.48472058512937116</v>
      </c>
      <c r="N21" s="1244">
        <v>0.41779614256383879</v>
      </c>
    </row>
    <row r="22" spans="1:15" ht="22.5" x14ac:dyDescent="0.2">
      <c r="A22" s="1241"/>
      <c r="B22" s="905" t="s">
        <v>1289</v>
      </c>
      <c r="C22" s="1242"/>
      <c r="D22" s="1238">
        <v>0.51629999999999998</v>
      </c>
      <c r="E22" s="1238">
        <v>0.41779614256383879</v>
      </c>
      <c r="F22" s="1238">
        <v>0.18318209078859207</v>
      </c>
      <c r="G22" s="1238">
        <v>0.19526108694334768</v>
      </c>
      <c r="H22" s="1238">
        <v>0.2158562915650358</v>
      </c>
      <c r="I22" s="1238">
        <v>0.29979007642638583</v>
      </c>
      <c r="J22" s="1238">
        <v>0.31500463806577605</v>
      </c>
      <c r="K22" s="1238">
        <v>0.38893997661972396</v>
      </c>
      <c r="L22" s="1244">
        <v>0.45884650041582997</v>
      </c>
      <c r="M22" s="1244">
        <v>0.48472058512937116</v>
      </c>
      <c r="N22" s="1244">
        <v>0.41779614256383879</v>
      </c>
    </row>
    <row r="23" spans="1:15" s="710" customFormat="1" ht="11.25" customHeight="1" x14ac:dyDescent="0.2">
      <c r="A23" s="1015" t="s">
        <v>659</v>
      </c>
      <c r="B23" s="1017" t="s">
        <v>1096</v>
      </c>
      <c r="C23" s="741" t="s">
        <v>1097</v>
      </c>
      <c r="D23" s="837">
        <v>375.6</v>
      </c>
      <c r="E23" s="837">
        <v>392.6</v>
      </c>
      <c r="F23" s="837">
        <v>392.6</v>
      </c>
      <c r="G23" s="837">
        <v>392.6</v>
      </c>
      <c r="H23" s="837">
        <v>392.6</v>
      </c>
      <c r="I23" s="837">
        <v>392.6</v>
      </c>
      <c r="J23" s="837">
        <v>392.6</v>
      </c>
      <c r="K23" s="837">
        <v>392.6</v>
      </c>
      <c r="L23" s="837">
        <v>392.6</v>
      </c>
      <c r="M23" s="837">
        <v>392.6</v>
      </c>
      <c r="N23" s="837">
        <v>392.6</v>
      </c>
    </row>
    <row r="24" spans="1:15" s="710" customFormat="1" ht="33.75" x14ac:dyDescent="0.2">
      <c r="A24" s="1016"/>
      <c r="B24" s="1018"/>
      <c r="C24" s="752" t="s">
        <v>1098</v>
      </c>
      <c r="D24" s="750">
        <v>16.8</v>
      </c>
      <c r="E24" s="747">
        <v>17.2</v>
      </c>
      <c r="F24" s="747">
        <v>17.2</v>
      </c>
      <c r="G24" s="747">
        <v>17.2</v>
      </c>
      <c r="H24" s="747">
        <v>17.2</v>
      </c>
      <c r="I24" s="747">
        <v>17.2</v>
      </c>
      <c r="J24" s="747">
        <v>17.2</v>
      </c>
      <c r="K24" s="747">
        <v>17.2</v>
      </c>
      <c r="L24" s="753">
        <v>17.2</v>
      </c>
      <c r="M24" s="753">
        <v>17.2</v>
      </c>
      <c r="N24" s="753">
        <v>17.2</v>
      </c>
    </row>
    <row r="25" spans="1:15" s="710" customFormat="1" ht="34.9" customHeight="1" x14ac:dyDescent="0.2">
      <c r="A25" s="1015" t="s">
        <v>847</v>
      </c>
      <c r="B25" s="1017" t="s">
        <v>1099</v>
      </c>
      <c r="C25" s="752" t="s">
        <v>1100</v>
      </c>
      <c r="D25" s="750">
        <v>211.9</v>
      </c>
      <c r="E25" s="753">
        <v>211.93</v>
      </c>
      <c r="F25" s="753">
        <v>211.93</v>
      </c>
      <c r="G25" s="753">
        <v>211.93</v>
      </c>
      <c r="H25" s="753">
        <v>211.93</v>
      </c>
      <c r="I25" s="753">
        <v>211.93</v>
      </c>
      <c r="J25" s="753">
        <v>211.93</v>
      </c>
      <c r="K25" s="753">
        <v>211.93</v>
      </c>
      <c r="L25" s="754">
        <v>211.93</v>
      </c>
      <c r="M25" s="754">
        <v>211.93</v>
      </c>
      <c r="N25" s="754">
        <v>211.93</v>
      </c>
    </row>
    <row r="26" spans="1:15" s="710" customFormat="1" ht="11.25" hidden="1" customHeight="1" x14ac:dyDescent="0.2">
      <c r="A26" s="1016"/>
      <c r="B26" s="1018"/>
      <c r="C26" s="752" t="s">
        <v>1101</v>
      </c>
      <c r="D26" s="741">
        <v>211.9</v>
      </c>
      <c r="E26" s="754">
        <v>211.93</v>
      </c>
      <c r="F26" s="754">
        <v>211.93</v>
      </c>
      <c r="G26" s="754">
        <v>211.93</v>
      </c>
      <c r="H26" s="754">
        <v>211.93</v>
      </c>
      <c r="I26" s="754">
        <v>211.93</v>
      </c>
      <c r="J26" s="754">
        <v>211.93</v>
      </c>
      <c r="K26" s="754">
        <v>211.93</v>
      </c>
      <c r="L26" s="780"/>
      <c r="M26" s="780"/>
      <c r="N26" s="780"/>
    </row>
    <row r="27" spans="1:15" s="710" customFormat="1" ht="61.15" customHeight="1" x14ac:dyDescent="0.2">
      <c r="A27" s="739" t="s">
        <v>668</v>
      </c>
      <c r="B27" s="740" t="s">
        <v>1102</v>
      </c>
      <c r="C27" s="752" t="s">
        <v>1103</v>
      </c>
      <c r="D27" s="1021" t="s">
        <v>1280</v>
      </c>
      <c r="E27" s="1022"/>
      <c r="F27" s="1022"/>
      <c r="G27" s="1022"/>
      <c r="H27" s="1022"/>
      <c r="I27" s="1022"/>
      <c r="J27" s="1022"/>
      <c r="K27" s="1022"/>
      <c r="L27" s="1022"/>
      <c r="M27" s="1022"/>
      <c r="N27" s="1023"/>
      <c r="O27" s="871"/>
    </row>
    <row r="28" spans="1:15" s="710" customFormat="1" ht="11.25" hidden="1" x14ac:dyDescent="0.2">
      <c r="A28" s="739" t="s">
        <v>1104</v>
      </c>
      <c r="B28" s="740"/>
      <c r="C28" s="741"/>
      <c r="D28" s="741"/>
      <c r="E28" s="750"/>
      <c r="F28" s="750"/>
      <c r="G28" s="750"/>
      <c r="H28" s="750"/>
      <c r="I28" s="750"/>
      <c r="J28" s="750"/>
      <c r="K28" s="750"/>
      <c r="L28" s="780"/>
      <c r="M28" s="780"/>
      <c r="N28" s="780"/>
    </row>
    <row r="29" spans="1:15" s="710" customFormat="1" ht="11.25" hidden="1" x14ac:dyDescent="0.2">
      <c r="A29" s="739" t="s">
        <v>1105</v>
      </c>
      <c r="B29" s="740"/>
      <c r="C29" s="741"/>
      <c r="D29" s="741"/>
      <c r="E29" s="750"/>
      <c r="F29" s="750"/>
      <c r="G29" s="750"/>
      <c r="H29" s="750"/>
      <c r="I29" s="750"/>
      <c r="J29" s="750"/>
      <c r="K29" s="750"/>
      <c r="L29" s="780"/>
      <c r="M29" s="780"/>
      <c r="N29" s="780"/>
    </row>
    <row r="30" spans="1:15" s="595" customFormat="1" ht="12" x14ac:dyDescent="0.2">
      <c r="N30" s="1250" t="s">
        <v>1292</v>
      </c>
    </row>
    <row r="31" spans="1:15" s="595" customFormat="1" ht="51" hidden="1" customHeight="1" x14ac:dyDescent="0.25">
      <c r="A31" s="970" t="s">
        <v>1106</v>
      </c>
      <c r="B31" s="970"/>
      <c r="C31" s="970"/>
      <c r="D31" s="970"/>
      <c r="E31" s="970"/>
      <c r="F31" s="970"/>
      <c r="G31" s="970"/>
      <c r="H31" s="970"/>
      <c r="I31" s="970"/>
      <c r="J31" s="970"/>
      <c r="K31" s="970"/>
    </row>
    <row r="32" spans="1:15" s="602" customFormat="1" ht="26.45" hidden="1" customHeight="1" x14ac:dyDescent="0.2">
      <c r="C32" s="827"/>
      <c r="E32" s="755"/>
      <c r="F32" s="755" t="s">
        <v>942</v>
      </c>
    </row>
    <row r="33" spans="3:3" s="602" customFormat="1" ht="12" x14ac:dyDescent="0.2">
      <c r="C33" s="826"/>
    </row>
    <row r="34" spans="3:3" s="602" customFormat="1" ht="12" x14ac:dyDescent="0.2"/>
    <row r="35" spans="3:3" s="602" customFormat="1" ht="12" x14ac:dyDescent="0.2"/>
    <row r="36" spans="3:3" s="602" customFormat="1" ht="12" x14ac:dyDescent="0.2"/>
    <row r="37" spans="3:3" s="602" customFormat="1" ht="12" x14ac:dyDescent="0.2"/>
    <row r="38" spans="3:3" s="602" customFormat="1" ht="12" x14ac:dyDescent="0.2"/>
    <row r="39" spans="3:3" s="600" customFormat="1" ht="12" x14ac:dyDescent="0.2">
      <c r="C39" s="827"/>
    </row>
    <row r="40" spans="3:3" s="602" customFormat="1" ht="12" x14ac:dyDescent="0.2">
      <c r="C40" s="826"/>
    </row>
    <row r="41" spans="3:3" s="577" customFormat="1" x14ac:dyDescent="0.2"/>
  </sheetData>
  <mergeCells count="22">
    <mergeCell ref="K3:N3"/>
    <mergeCell ref="K1:N1"/>
    <mergeCell ref="A31:K31"/>
    <mergeCell ref="A7:K7"/>
    <mergeCell ref="B6:K6"/>
    <mergeCell ref="A16:A17"/>
    <mergeCell ref="B16:B17"/>
    <mergeCell ref="A25:A26"/>
    <mergeCell ref="B25:B26"/>
    <mergeCell ref="D27:N27"/>
    <mergeCell ref="A9:A11"/>
    <mergeCell ref="B9:B11"/>
    <mergeCell ref="C9:C11"/>
    <mergeCell ref="D9:D11"/>
    <mergeCell ref="A21:A22"/>
    <mergeCell ref="C21:C22"/>
    <mergeCell ref="E10:E11"/>
    <mergeCell ref="E9:N9"/>
    <mergeCell ref="F10:N10"/>
    <mergeCell ref="A23:A24"/>
    <mergeCell ref="B23:B24"/>
    <mergeCell ref="A5:K5"/>
  </mergeCells>
  <pageMargins left="0.19685039370078741" right="0.19685039370078741" top="0.62992125984251968" bottom="0.39370078740157483" header="0.31496062992125984" footer="0.31496062992125984"/>
  <pageSetup paperSize="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21</vt:i4>
      </vt:variant>
    </vt:vector>
  </HeadingPairs>
  <TitlesOfParts>
    <vt:vector size="51" baseType="lpstr">
      <vt:lpstr>приложение 1.4</vt:lpstr>
      <vt:lpstr> 2.3</vt:lpstr>
      <vt:lpstr>6.1. ИП ТС</vt:lpstr>
      <vt:lpstr>6.2. ИП ТС</vt:lpstr>
      <vt:lpstr>содержание</vt:lpstr>
      <vt:lpstr>Паспорт</vt:lpstr>
      <vt:lpstr>2 ИП ТС</vt:lpstr>
      <vt:lpstr>2.2</vt:lpstr>
      <vt:lpstr>3 ИП ТС</vt:lpstr>
      <vt:lpstr>4 ИП ТС</vt:lpstr>
      <vt:lpstr>Финплан</vt:lpstr>
      <vt:lpstr>4.3</vt:lpstr>
      <vt:lpstr>График ввода</vt:lpstr>
      <vt:lpstr>Кредит</vt:lpstr>
      <vt:lpstr>5</vt:lpstr>
      <vt:lpstr>6.1</vt:lpstr>
      <vt:lpstr>6.2</vt:lpstr>
      <vt:lpstr>6.3</vt:lpstr>
      <vt:lpstr>7.1</vt:lpstr>
      <vt:lpstr>7.2</vt:lpstr>
      <vt:lpstr>8</vt:lpstr>
      <vt:lpstr>9</vt:lpstr>
      <vt:lpstr>10</vt:lpstr>
      <vt:lpstr>11.1</vt:lpstr>
      <vt:lpstr>11.2</vt:lpstr>
      <vt:lpstr>12</vt:lpstr>
      <vt:lpstr>13</vt:lpstr>
      <vt:lpstr>Смета</vt:lpstr>
      <vt:lpstr>График амотриз</vt:lpstr>
      <vt:lpstr>Расчет амортизации</vt:lpstr>
      <vt:lpstr>'График амотриз'!Заголовки_для_печати</vt:lpstr>
      <vt:lpstr>'График ввода'!Заголовки_для_печати</vt:lpstr>
      <vt:lpstr>Кредит!Заголовки_для_печати</vt:lpstr>
      <vt:lpstr>'Расчет амортизации'!Заголовки_для_печати</vt:lpstr>
      <vt:lpstr>Смета!Заголовки_для_печати</vt:lpstr>
      <vt:lpstr>'2 ИП ТС'!Область_печати</vt:lpstr>
      <vt:lpstr>'2.2'!Область_печати</vt:lpstr>
      <vt:lpstr>'3 ИП ТС'!Область_печати</vt:lpstr>
      <vt:lpstr>'4 ИП ТС'!Область_печати</vt:lpstr>
      <vt:lpstr>'4.3'!Область_печати</vt:lpstr>
      <vt:lpstr>'6.1'!Область_печати</vt:lpstr>
      <vt:lpstr>'6.2'!Область_печати</vt:lpstr>
      <vt:lpstr>'6.3'!Область_печати</vt:lpstr>
      <vt:lpstr>'График амотриз'!Область_печати</vt:lpstr>
      <vt:lpstr>'График ввода'!Область_печати</vt:lpstr>
      <vt:lpstr>Кредит!Область_печати</vt:lpstr>
      <vt:lpstr>Паспорт!Область_печати</vt:lpstr>
      <vt:lpstr>'Расчет амортизации'!Область_печати</vt:lpstr>
      <vt:lpstr>Смета!Область_печати</vt:lpstr>
      <vt:lpstr>содержание!Область_печати</vt:lpstr>
      <vt:lpstr>Финплан!Область_печати</vt:lpstr>
    </vt:vector>
  </TitlesOfParts>
  <Company>Datanium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Зенькова Ульяна Владимировна</cp:lastModifiedBy>
  <cp:lastPrinted>2017-09-14T23:25:20Z</cp:lastPrinted>
  <dcterms:created xsi:type="dcterms:W3CDTF">2009-07-27T10:10:26Z</dcterms:created>
  <dcterms:modified xsi:type="dcterms:W3CDTF">2021-10-30T08:06:10Z</dcterms:modified>
</cp:coreProperties>
</file>