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SLTARIF\Public\ОТДЕЛ ТЕПЛОВОЙ ЭНЕРГИИ\ИНВЕСТПРОГРАММЫ\2021 год\ВНЕСЕНИЕ ИЗМЕНЕНИЙ\Корякэнерго\с. Хаилино_с.Тиличики_с. Пахачи_с. Ачайваям» Олюторского МР\Расчет Службы\"/>
    </mc:Choice>
  </mc:AlternateContent>
  <bookViews>
    <workbookView xWindow="0" yWindow="0" windowWidth="28800" windowHeight="12435" tabRatio="772" firstSheet="1" activeTab="10"/>
  </bookViews>
  <sheets>
    <sheet name="Реестр" sheetId="24" state="hidden" r:id="rId1"/>
    <sheet name="Паспорт" sheetId="22" r:id="rId2"/>
    <sheet name="6.1-ИП ТС" sheetId="25" state="hidden" r:id="rId3"/>
    <sheet name="6.2-ИП ТС" sheetId="26" state="hidden" r:id="rId4"/>
    <sheet name="2 ИП ТС" sheetId="8" r:id="rId5"/>
    <sheet name="2 ИП ТС (2)" sheetId="29" state="hidden" r:id="rId6"/>
    <sheet name="3-ИП ТС" sheetId="27" r:id="rId7"/>
    <sheet name=" 4 ИП ТС" sheetId="34" r:id="rId8"/>
    <sheet name="4-ИП ТС" sheetId="28" state="hidden" r:id="rId9"/>
    <sheet name="Финансовый план свод" sheetId="23" r:id="rId10"/>
    <sheet name="Тиличики" sheetId="31" r:id="rId11"/>
    <sheet name="Ачайваям" sheetId="36" r:id="rId12"/>
    <sheet name="Пахачи" sheetId="32" r:id="rId13"/>
    <sheet name="Хаилино" sheetId="33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4" hidden="1">'2 ИП ТС'!$A$21:$CT$94</definedName>
    <definedName name="_xlnm._FilterDatabase" localSheetId="5" hidden="1">'2 ИП ТС (2)'!$A$13:$CT$94</definedName>
    <definedName name="_xlnm.Print_Titles" localSheetId="4">'2 ИП ТС'!$16:$22</definedName>
    <definedName name="_xlnm.Print_Titles" localSheetId="5">'2 ИП ТС (2)'!$8:$14</definedName>
    <definedName name="_xlnm.Print_Titles" localSheetId="6">'3-ИП ТС'!$15:$18</definedName>
    <definedName name="_xlnm.Print_Titles" localSheetId="3">'6.2-ИП ТС'!$9:$12</definedName>
    <definedName name="_xlnm.Print_Titles" localSheetId="0">Реестр!$4:$4</definedName>
    <definedName name="_xlnm.Print_Area" localSheetId="7">' 4 ИП ТС'!$A$1:$W$50</definedName>
    <definedName name="_xlnm.Print_Area" localSheetId="4">'2 ИП ТС'!$A$1:$V$89</definedName>
    <definedName name="_xlnm.Print_Area" localSheetId="5">'2 ИП ТС (2)'!$A$3:$V$82</definedName>
    <definedName name="_xlnm.Print_Area" localSheetId="6">'3-ИП ТС'!$A$1:$K$80</definedName>
    <definedName name="_xlnm.Print_Area" localSheetId="8">'4-ИП ТС'!$A$1:$W$49</definedName>
    <definedName name="_xlnm.Print_Area" localSheetId="11">Ачайваям!$A$1:$J$32</definedName>
    <definedName name="_xlnm.Print_Area" localSheetId="1">Паспорт!$A$1:$B$41</definedName>
    <definedName name="_xlnm.Print_Area" localSheetId="12">Пахачи!$A$1:$J$33</definedName>
    <definedName name="_xlnm.Print_Area" localSheetId="0">Реестр!$A$2:$C$73</definedName>
    <definedName name="_xlnm.Print_Area" localSheetId="10">Тиличики!$A$1:$J$32</definedName>
    <definedName name="_xlnm.Print_Area" localSheetId="9">'Финансовый план свод'!$A$1:$I$33</definedName>
    <definedName name="_xlnm.Print_Area" localSheetId="13">Хаилино!$A$1:$J$33</definedName>
  </definedNames>
  <calcPr calcId="152511"/>
</workbook>
</file>

<file path=xl/calcChain.xml><?xml version="1.0" encoding="utf-8"?>
<calcChain xmlns="http://schemas.openxmlformats.org/spreadsheetml/2006/main">
  <c r="O50" i="8" l="1"/>
  <c r="O43" i="8"/>
  <c r="A67" i="27" l="1"/>
  <c r="W44" i="8"/>
  <c r="W69" i="8"/>
  <c r="W68" i="8"/>
  <c r="S98" i="8"/>
  <c r="S66" i="8"/>
  <c r="W66" i="8" s="1"/>
  <c r="D44" i="36"/>
  <c r="J42" i="36"/>
  <c r="J43" i="36" s="1"/>
  <c r="I42" i="36"/>
  <c r="I43" i="36" s="1"/>
  <c r="H42" i="36"/>
  <c r="H43" i="36" s="1"/>
  <c r="G42" i="36"/>
  <c r="G43" i="36" s="1"/>
  <c r="F42" i="36"/>
  <c r="F43" i="36" s="1"/>
  <c r="E42" i="36"/>
  <c r="E43" i="36" s="1"/>
  <c r="J41" i="36"/>
  <c r="I41" i="36"/>
  <c r="H41" i="36"/>
  <c r="G41" i="36"/>
  <c r="F41" i="36"/>
  <c r="E41" i="36"/>
  <c r="D40" i="36"/>
  <c r="J33" i="36"/>
  <c r="I33" i="36"/>
  <c r="H33" i="36"/>
  <c r="G33" i="36"/>
  <c r="F33" i="36"/>
  <c r="E33" i="36"/>
  <c r="D31" i="36"/>
  <c r="D30" i="36"/>
  <c r="D29" i="36"/>
  <c r="D28" i="36"/>
  <c r="J27" i="36"/>
  <c r="D27" i="36" s="1"/>
  <c r="I26" i="36"/>
  <c r="H26" i="36"/>
  <c r="G26" i="36"/>
  <c r="F26" i="36"/>
  <c r="E26" i="36"/>
  <c r="D25" i="36"/>
  <c r="D24" i="36"/>
  <c r="J23" i="36"/>
  <c r="J22" i="36"/>
  <c r="E22" i="36"/>
  <c r="E23" i="36" s="1"/>
  <c r="I21" i="36"/>
  <c r="I32" i="36" s="1"/>
  <c r="H21" i="36"/>
  <c r="H32" i="36" s="1"/>
  <c r="G21" i="36"/>
  <c r="F21" i="36"/>
  <c r="F32" i="36" s="1"/>
  <c r="G32" i="36" l="1"/>
  <c r="D41" i="36"/>
  <c r="J21" i="36"/>
  <c r="D33" i="36"/>
  <c r="J26" i="36"/>
  <c r="D26" i="36" s="1"/>
  <c r="E21" i="36"/>
  <c r="D23" i="36"/>
  <c r="D43" i="36"/>
  <c r="D42" i="36"/>
  <c r="D22" i="36"/>
  <c r="J32" i="36" l="1"/>
  <c r="D21" i="36"/>
  <c r="E32" i="36"/>
  <c r="D32" i="36" l="1"/>
  <c r="AE34" i="23" l="1"/>
  <c r="X34" i="23"/>
  <c r="AE33" i="23"/>
  <c r="X33" i="23"/>
  <c r="AE32" i="23"/>
  <c r="X32" i="23"/>
  <c r="AE31" i="23"/>
  <c r="X31" i="23"/>
  <c r="AE30" i="23"/>
  <c r="X30" i="23"/>
  <c r="AE29" i="23"/>
  <c r="X29" i="23"/>
  <c r="AE28" i="23"/>
  <c r="X28" i="23"/>
  <c r="AE27" i="23"/>
  <c r="X27" i="23"/>
  <c r="AE26" i="23"/>
  <c r="X26" i="23"/>
  <c r="AE25" i="23"/>
  <c r="X25" i="23"/>
  <c r="AE24" i="23"/>
  <c r="X24" i="23"/>
  <c r="AE23" i="23"/>
  <c r="X23" i="23"/>
  <c r="AE22" i="23"/>
  <c r="X22" i="23"/>
  <c r="Q34" i="23"/>
  <c r="Q33" i="23"/>
  <c r="Q32" i="23"/>
  <c r="Q31" i="23"/>
  <c r="Q30" i="23"/>
  <c r="Q29" i="23"/>
  <c r="Q28" i="23"/>
  <c r="Q27" i="23"/>
  <c r="Q26" i="23"/>
  <c r="Q25" i="23"/>
  <c r="Q24" i="23"/>
  <c r="Q23" i="23"/>
  <c r="Q22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S45" i="28"/>
  <c r="T45" i="28" s="1"/>
  <c r="U45" i="28" s="1"/>
  <c r="V45" i="28" s="1"/>
  <c r="W45" i="28" s="1"/>
  <c r="A76" i="27"/>
  <c r="A77" i="27" s="1"/>
  <c r="K58" i="27"/>
  <c r="J58" i="27"/>
  <c r="I58" i="27"/>
  <c r="H58" i="27"/>
  <c r="G58" i="27"/>
  <c r="F58" i="27"/>
  <c r="E58" i="27"/>
  <c r="E57" i="27"/>
  <c r="G56" i="27"/>
  <c r="F56" i="27"/>
  <c r="E56" i="27" s="1"/>
  <c r="D56" i="27"/>
  <c r="E55" i="27"/>
  <c r="K54" i="27"/>
  <c r="E54" i="27" s="1"/>
  <c r="J54" i="27"/>
  <c r="I54" i="27"/>
  <c r="H54" i="27"/>
  <c r="G54" i="27"/>
  <c r="F54" i="27"/>
  <c r="E53" i="27"/>
  <c r="E52" i="27"/>
  <c r="E51" i="27"/>
  <c r="K37" i="27"/>
  <c r="J37" i="27"/>
  <c r="I37" i="27"/>
  <c r="H37" i="27"/>
  <c r="G37" i="27"/>
  <c r="F37" i="27"/>
  <c r="E37" i="27"/>
  <c r="D37" i="27"/>
  <c r="E36" i="27"/>
  <c r="F35" i="27"/>
  <c r="E35" i="27"/>
  <c r="D35" i="27"/>
  <c r="F34" i="27"/>
  <c r="E34" i="27"/>
  <c r="K33" i="27"/>
  <c r="J33" i="27"/>
  <c r="I33" i="27"/>
  <c r="H33" i="27"/>
  <c r="G33" i="27"/>
  <c r="F33" i="27"/>
  <c r="E33" i="27"/>
  <c r="D33" i="27"/>
  <c r="K31" i="27"/>
  <c r="J31" i="27"/>
  <c r="I31" i="27"/>
  <c r="H31" i="27"/>
  <c r="G31" i="27"/>
  <c r="F31" i="27"/>
  <c r="E31" i="27"/>
  <c r="D31" i="27"/>
  <c r="K30" i="27"/>
  <c r="K38" i="27" s="1"/>
  <c r="J30" i="27"/>
  <c r="J38" i="27" s="1"/>
  <c r="I30" i="27"/>
  <c r="I38" i="27" s="1"/>
  <c r="H30" i="27"/>
  <c r="H22" i="27" s="1"/>
  <c r="G30" i="27"/>
  <c r="G38" i="27" s="1"/>
  <c r="F30" i="27"/>
  <c r="F38" i="27" s="1"/>
  <c r="E30" i="27"/>
  <c r="E38" i="27" s="1"/>
  <c r="D30" i="27"/>
  <c r="D38" i="27" s="1"/>
  <c r="F29" i="27"/>
  <c r="F36" i="27" s="1"/>
  <c r="E29" i="27"/>
  <c r="D29" i="27"/>
  <c r="D36" i="27" s="1"/>
  <c r="K28" i="27"/>
  <c r="K34" i="27" s="1"/>
  <c r="J28" i="27"/>
  <c r="J34" i="27" s="1"/>
  <c r="I28" i="27"/>
  <c r="I34" i="27" s="1"/>
  <c r="H28" i="27"/>
  <c r="H34" i="27" s="1"/>
  <c r="G28" i="27"/>
  <c r="G34" i="27" s="1"/>
  <c r="F28" i="27"/>
  <c r="E28" i="27"/>
  <c r="D28" i="27"/>
  <c r="D34" i="27" s="1"/>
  <c r="K27" i="27"/>
  <c r="K32" i="27" s="1"/>
  <c r="J27" i="27"/>
  <c r="J32" i="27" s="1"/>
  <c r="I27" i="27"/>
  <c r="I19" i="27" s="1"/>
  <c r="H27" i="27"/>
  <c r="H32" i="27" s="1"/>
  <c r="G27" i="27"/>
  <c r="G32" i="27" s="1"/>
  <c r="F27" i="27"/>
  <c r="F32" i="27" s="1"/>
  <c r="E27" i="27"/>
  <c r="E19" i="27" s="1"/>
  <c r="D27" i="27"/>
  <c r="D19" i="27" s="1"/>
  <c r="I22" i="27"/>
  <c r="E21" i="27"/>
  <c r="J20" i="27"/>
  <c r="I20" i="27"/>
  <c r="F20" i="27"/>
  <c r="E20" i="27"/>
  <c r="A20" i="27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3" i="27" s="1"/>
  <c r="A55" i="27" s="1"/>
  <c r="A57" i="27" s="1"/>
  <c r="A59" i="27" s="1"/>
  <c r="A60" i="27" s="1"/>
  <c r="A61" i="27" s="1"/>
  <c r="A62" i="27" s="1"/>
  <c r="J19" i="27"/>
  <c r="F19" i="27"/>
  <c r="T88" i="8"/>
  <c r="S88" i="8"/>
  <c r="R88" i="8"/>
  <c r="Q88" i="8"/>
  <c r="P88" i="8"/>
  <c r="O88" i="8"/>
  <c r="N88" i="8"/>
  <c r="M88" i="8"/>
  <c r="K88" i="8"/>
  <c r="T80" i="8"/>
  <c r="S80" i="8"/>
  <c r="R80" i="8"/>
  <c r="Q80" i="8"/>
  <c r="P80" i="8"/>
  <c r="L80" i="8"/>
  <c r="K80" i="8"/>
  <c r="T74" i="8"/>
  <c r="R74" i="8"/>
  <c r="L74" i="8"/>
  <c r="S67" i="8"/>
  <c r="W67" i="8" s="1"/>
  <c r="S65" i="8"/>
  <c r="O63" i="8"/>
  <c r="K63" i="8" s="1"/>
  <c r="K62" i="8"/>
  <c r="K61" i="8"/>
  <c r="K60" i="8"/>
  <c r="N59" i="8"/>
  <c r="K59" i="8"/>
  <c r="K58" i="8"/>
  <c r="N57" i="8"/>
  <c r="K57" i="8" s="1"/>
  <c r="K56" i="8"/>
  <c r="N55" i="8"/>
  <c r="K55" i="8"/>
  <c r="N54" i="8"/>
  <c r="K53" i="8"/>
  <c r="M52" i="8"/>
  <c r="K52" i="8" s="1"/>
  <c r="O51" i="8"/>
  <c r="K51" i="8"/>
  <c r="K50" i="8"/>
  <c r="K49" i="8"/>
  <c r="K48" i="8"/>
  <c r="K47" i="8"/>
  <c r="K46" i="8"/>
  <c r="K45" i="8"/>
  <c r="S40" i="8"/>
  <c r="W40" i="8" s="1"/>
  <c r="H40" i="8"/>
  <c r="T37" i="8"/>
  <c r="S37" i="8"/>
  <c r="R37" i="8"/>
  <c r="Q37" i="8"/>
  <c r="P37" i="8"/>
  <c r="O37" i="8"/>
  <c r="N37" i="8"/>
  <c r="M37" i="8"/>
  <c r="L37" i="8"/>
  <c r="K37" i="8"/>
  <c r="T32" i="8"/>
  <c r="S32" i="8"/>
  <c r="R32" i="8"/>
  <c r="Q32" i="8"/>
  <c r="P32" i="8"/>
  <c r="O32" i="8"/>
  <c r="N32" i="8"/>
  <c r="M32" i="8"/>
  <c r="K32" i="8"/>
  <c r="L28" i="8"/>
  <c r="L27" i="8"/>
  <c r="L25" i="8"/>
  <c r="L32" i="8" s="1"/>
  <c r="L87" i="8" s="1"/>
  <c r="J91" i="8"/>
  <c r="J90" i="8"/>
  <c r="T87" i="8" l="1"/>
  <c r="K19" i="27"/>
  <c r="D22" i="27"/>
  <c r="L88" i="8"/>
  <c r="W74" i="8"/>
  <c r="E22" i="27"/>
  <c r="H38" i="27"/>
  <c r="O74" i="8"/>
  <c r="O87" i="8" s="1"/>
  <c r="R87" i="8"/>
  <c r="N74" i="8"/>
  <c r="G19" i="27"/>
  <c r="D21" i="27"/>
  <c r="S74" i="8"/>
  <c r="S87" i="8" s="1"/>
  <c r="H19" i="27"/>
  <c r="F21" i="27"/>
  <c r="E32" i="27"/>
  <c r="D32" i="27"/>
  <c r="G20" i="27"/>
  <c r="K20" i="27"/>
  <c r="F22" i="27"/>
  <c r="J22" i="27"/>
  <c r="I32" i="27"/>
  <c r="D20" i="27"/>
  <c r="H20" i="27"/>
  <c r="G22" i="27"/>
  <c r="K22" i="27"/>
  <c r="N87" i="8"/>
  <c r="P74" i="8"/>
  <c r="P87" i="8" s="1"/>
  <c r="M74" i="8"/>
  <c r="M87" i="8" s="1"/>
  <c r="Q74" i="8"/>
  <c r="Q87" i="8" s="1"/>
  <c r="K54" i="8"/>
  <c r="K74" i="8"/>
  <c r="K87" i="8" s="1"/>
  <c r="S91" i="8" l="1"/>
  <c r="S92" i="8" s="1"/>
  <c r="J92" i="8"/>
  <c r="J93" i="8" s="1"/>
  <c r="D48" i="33" l="1"/>
  <c r="H47" i="33"/>
  <c r="I43" i="33"/>
  <c r="J42" i="33"/>
  <c r="J43" i="33" s="1"/>
  <c r="H42" i="33"/>
  <c r="H43" i="33" s="1"/>
  <c r="G42" i="33"/>
  <c r="G43" i="33" s="1"/>
  <c r="F42" i="33"/>
  <c r="F43" i="33" s="1"/>
  <c r="E42" i="33"/>
  <c r="E43" i="33" s="1"/>
  <c r="H41" i="33"/>
  <c r="G41" i="33"/>
  <c r="G24" i="33" s="1"/>
  <c r="I34" i="33"/>
  <c r="H34" i="33"/>
  <c r="G34" i="33"/>
  <c r="F34" i="33"/>
  <c r="E34" i="33"/>
  <c r="D32" i="33"/>
  <c r="D31" i="33"/>
  <c r="D30" i="33"/>
  <c r="D29" i="33"/>
  <c r="D28" i="33"/>
  <c r="J27" i="33"/>
  <c r="I27" i="33"/>
  <c r="H27" i="33"/>
  <c r="G27" i="33"/>
  <c r="F27" i="33"/>
  <c r="E27" i="33"/>
  <c r="D26" i="33"/>
  <c r="D25" i="33"/>
  <c r="F24" i="33"/>
  <c r="H23" i="33"/>
  <c r="H22" i="33" s="1"/>
  <c r="G23" i="33"/>
  <c r="F23" i="33"/>
  <c r="J22" i="33"/>
  <c r="I22" i="33"/>
  <c r="I33" i="33" s="1"/>
  <c r="E22" i="33"/>
  <c r="E33" i="33" s="1"/>
  <c r="D27" i="33" l="1"/>
  <c r="J33" i="33"/>
  <c r="D34" i="33"/>
  <c r="H33" i="33"/>
  <c r="I44" i="33"/>
  <c r="D23" i="33"/>
  <c r="H44" i="33"/>
  <c r="D43" i="33"/>
  <c r="G22" i="33"/>
  <c r="G33" i="33" s="1"/>
  <c r="D24" i="33"/>
  <c r="D41" i="33"/>
  <c r="D42" i="33"/>
  <c r="F22" i="33"/>
  <c r="G44" i="33" l="1"/>
  <c r="F33" i="33"/>
  <c r="D33" i="33" s="1"/>
  <c r="D22" i="33"/>
  <c r="F44" i="33"/>
  <c r="D44" i="33" l="1"/>
  <c r="G45" i="33"/>
  <c r="D45" i="33" s="1"/>
  <c r="D49" i="33"/>
  <c r="L33" i="33"/>
  <c r="J41" i="32" l="1"/>
  <c r="I41" i="32"/>
  <c r="I24" i="32" s="1"/>
  <c r="I22" i="32" s="1"/>
  <c r="H41" i="32"/>
  <c r="G41" i="32"/>
  <c r="F41" i="32"/>
  <c r="E41" i="32"/>
  <c r="D40" i="32"/>
  <c r="J34" i="32"/>
  <c r="I34" i="32"/>
  <c r="H34" i="32"/>
  <c r="G34" i="32"/>
  <c r="F34" i="32"/>
  <c r="E34" i="32"/>
  <c r="K33" i="32"/>
  <c r="D32" i="32"/>
  <c r="D31" i="32"/>
  <c r="D30" i="32"/>
  <c r="D29" i="32"/>
  <c r="D28" i="32"/>
  <c r="J27" i="32"/>
  <c r="I27" i="32"/>
  <c r="H27" i="32"/>
  <c r="G27" i="32"/>
  <c r="F27" i="32"/>
  <c r="E27" i="32"/>
  <c r="D26" i="32"/>
  <c r="D25" i="32"/>
  <c r="J23" i="32"/>
  <c r="H23" i="32"/>
  <c r="H24" i="32" s="1"/>
  <c r="G23" i="32"/>
  <c r="F23" i="32"/>
  <c r="E23" i="32"/>
  <c r="I33" i="32" l="1"/>
  <c r="F24" i="32"/>
  <c r="F22" i="32" s="1"/>
  <c r="F33" i="32" s="1"/>
  <c r="E24" i="32"/>
  <c r="D27" i="32"/>
  <c r="J24" i="32"/>
  <c r="J22" i="32" s="1"/>
  <c r="J33" i="32" s="1"/>
  <c r="D23" i="32"/>
  <c r="G24" i="32"/>
  <c r="G22" i="32" s="1"/>
  <c r="G33" i="32" s="1"/>
  <c r="D34" i="32"/>
  <c r="D41" i="32"/>
  <c r="H22" i="32"/>
  <c r="H33" i="32" s="1"/>
  <c r="E22" i="32"/>
  <c r="D24" i="32" l="1"/>
  <c r="D22" i="32"/>
  <c r="E33" i="32"/>
  <c r="D33" i="32" s="1"/>
  <c r="L33" i="32" s="1"/>
  <c r="J41" i="31" l="1"/>
  <c r="J42" i="31" s="1"/>
  <c r="I41" i="31"/>
  <c r="I42" i="31" s="1"/>
  <c r="I43" i="31" s="1"/>
  <c r="H41" i="31"/>
  <c r="H42" i="31" s="1"/>
  <c r="G41" i="31"/>
  <c r="G42" i="31" s="1"/>
  <c r="I40" i="31"/>
  <c r="K33" i="31"/>
  <c r="L33" i="31" s="1"/>
  <c r="J33" i="31"/>
  <c r="D31" i="31"/>
  <c r="D30" i="31"/>
  <c r="D29" i="31"/>
  <c r="D28" i="31"/>
  <c r="K27" i="31"/>
  <c r="L27" i="31" s="1"/>
  <c r="D27" i="31"/>
  <c r="J26" i="31"/>
  <c r="I26" i="31"/>
  <c r="H26" i="31"/>
  <c r="G26" i="31"/>
  <c r="F26" i="31"/>
  <c r="E26" i="31"/>
  <c r="D25" i="31"/>
  <c r="D24" i="31"/>
  <c r="D23" i="31"/>
  <c r="I22" i="31"/>
  <c r="I21" i="31" s="1"/>
  <c r="I38" i="31" s="1"/>
  <c r="H22" i="31"/>
  <c r="H21" i="31" s="1"/>
  <c r="H39" i="31" s="1"/>
  <c r="G22" i="31"/>
  <c r="G21" i="31" s="1"/>
  <c r="F22" i="31"/>
  <c r="F21" i="31" s="1"/>
  <c r="F38" i="31" s="1"/>
  <c r="E22" i="31"/>
  <c r="J21" i="31"/>
  <c r="J38" i="31" s="1"/>
  <c r="D26" i="31" l="1"/>
  <c r="D22" i="31"/>
  <c r="H32" i="31"/>
  <c r="E21" i="31"/>
  <c r="E38" i="31" s="1"/>
  <c r="G43" i="31"/>
  <c r="D43" i="31" s="1"/>
  <c r="D42" i="31"/>
  <c r="D44" i="31" s="1"/>
  <c r="G32" i="31"/>
  <c r="G38" i="31"/>
  <c r="H43" i="31"/>
  <c r="D41" i="31"/>
  <c r="E32" i="31"/>
  <c r="I32" i="31"/>
  <c r="H38" i="31"/>
  <c r="F32" i="31"/>
  <c r="J32" i="31"/>
  <c r="J39" i="31"/>
  <c r="D39" i="31" s="1"/>
  <c r="D21" i="31" l="1"/>
  <c r="D38" i="31"/>
  <c r="D32" i="31"/>
  <c r="M33" i="31" s="1"/>
  <c r="J43" i="31"/>
  <c r="AD39" i="23" l="1"/>
  <c r="K32" i="29" l="1"/>
  <c r="K57" i="29"/>
  <c r="K58" i="29"/>
  <c r="K59" i="29"/>
  <c r="D24" i="23"/>
  <c r="D23" i="23"/>
  <c r="T80" i="29" l="1"/>
  <c r="S80" i="29"/>
  <c r="R80" i="29"/>
  <c r="Q80" i="29"/>
  <c r="P80" i="29"/>
  <c r="O80" i="29"/>
  <c r="N80" i="29"/>
  <c r="M80" i="29"/>
  <c r="K80" i="29"/>
  <c r="T72" i="29"/>
  <c r="S72" i="29"/>
  <c r="R72" i="29"/>
  <c r="Q72" i="29"/>
  <c r="P72" i="29"/>
  <c r="L72" i="29"/>
  <c r="K72" i="29"/>
  <c r="T66" i="29"/>
  <c r="S66" i="29"/>
  <c r="R66" i="29"/>
  <c r="L66" i="29"/>
  <c r="K61" i="29"/>
  <c r="K60" i="29"/>
  <c r="K56" i="29"/>
  <c r="O55" i="29"/>
  <c r="K55" i="29"/>
  <c r="K54" i="29"/>
  <c r="K53" i="29"/>
  <c r="K52" i="29"/>
  <c r="N51" i="29"/>
  <c r="K51" i="29"/>
  <c r="P50" i="29"/>
  <c r="K50" i="29" s="1"/>
  <c r="N49" i="29"/>
  <c r="K49" i="29" s="1"/>
  <c r="Q48" i="29"/>
  <c r="K48" i="29" s="1"/>
  <c r="N47" i="29"/>
  <c r="K47" i="29"/>
  <c r="N46" i="29"/>
  <c r="K46" i="29" s="1"/>
  <c r="P45" i="29"/>
  <c r="K45" i="29" s="1"/>
  <c r="M44" i="29"/>
  <c r="K44" i="29" s="1"/>
  <c r="O43" i="29"/>
  <c r="K43" i="29"/>
  <c r="O42" i="29"/>
  <c r="K42" i="29" s="1"/>
  <c r="P41" i="29"/>
  <c r="K41" i="29" s="1"/>
  <c r="P40" i="29"/>
  <c r="P66" i="29" s="1"/>
  <c r="P79" i="29" s="1"/>
  <c r="G37" i="23" s="1"/>
  <c r="K39" i="29"/>
  <c r="Q38" i="29"/>
  <c r="K38" i="29" s="1"/>
  <c r="Q37" i="29"/>
  <c r="K37" i="29"/>
  <c r="K36" i="29"/>
  <c r="O35" i="29"/>
  <c r="O66" i="29" s="1"/>
  <c r="H32" i="29"/>
  <c r="T29" i="29"/>
  <c r="S29" i="29"/>
  <c r="R29" i="29"/>
  <c r="Q29" i="29"/>
  <c r="P29" i="29"/>
  <c r="O29" i="29"/>
  <c r="N29" i="29"/>
  <c r="M29" i="29"/>
  <c r="L29" i="29"/>
  <c r="K29" i="29"/>
  <c r="T24" i="29"/>
  <c r="T79" i="29" s="1"/>
  <c r="S24" i="29"/>
  <c r="R24" i="29"/>
  <c r="Q24" i="29"/>
  <c r="P24" i="29"/>
  <c r="O24" i="29"/>
  <c r="N24" i="29"/>
  <c r="M24" i="29"/>
  <c r="K24" i="29"/>
  <c r="L20" i="29"/>
  <c r="L19" i="29"/>
  <c r="L17" i="29"/>
  <c r="L80" i="29" l="1"/>
  <c r="M66" i="29"/>
  <c r="M79" i="29" s="1"/>
  <c r="D37" i="23" s="1"/>
  <c r="S79" i="29"/>
  <c r="R79" i="29"/>
  <c r="I37" i="23" s="1"/>
  <c r="O79" i="29"/>
  <c r="F37" i="23" s="1"/>
  <c r="L24" i="29"/>
  <c r="L79" i="29" s="1"/>
  <c r="N66" i="29"/>
  <c r="N79" i="29" s="1"/>
  <c r="E37" i="23" s="1"/>
  <c r="K35" i="29"/>
  <c r="K40" i="29"/>
  <c r="Q66" i="29"/>
  <c r="Q79" i="29" s="1"/>
  <c r="H37" i="23" s="1"/>
  <c r="C37" i="23" l="1"/>
  <c r="K66" i="29"/>
  <c r="K79" i="29" l="1"/>
  <c r="K83" i="29" l="1"/>
  <c r="M83" i="29"/>
  <c r="AD37" i="23"/>
  <c r="Z38" i="23"/>
  <c r="Z40" i="23" s="1"/>
  <c r="AA38" i="23"/>
  <c r="AA40" i="23" s="1"/>
  <c r="AB38" i="23"/>
  <c r="AB40" i="23" s="1"/>
  <c r="AC38" i="23"/>
  <c r="AC40" i="23" s="1"/>
  <c r="Y38" i="23"/>
  <c r="Y40" i="23" s="1"/>
  <c r="AD40" i="23" s="1"/>
  <c r="C30" i="24"/>
  <c r="C24" i="24"/>
  <c r="C18" i="24"/>
  <c r="AD38" i="23" l="1"/>
  <c r="C74" i="24"/>
  <c r="C77" i="24" s="1"/>
  <c r="C70" i="24"/>
  <c r="H56" i="25" l="1"/>
  <c r="G56" i="25"/>
  <c r="H50" i="25"/>
  <c r="G50" i="25"/>
  <c r="H23" i="25"/>
  <c r="G23" i="25"/>
  <c r="G65" i="25" l="1"/>
  <c r="H65" i="25"/>
  <c r="C36" i="24" l="1"/>
  <c r="I28" i="23" l="1"/>
  <c r="I27" i="23" s="1"/>
  <c r="H27" i="23"/>
  <c r="G27" i="23"/>
  <c r="F27" i="23"/>
  <c r="E27" i="23"/>
  <c r="I24" i="23"/>
  <c r="H24" i="23"/>
  <c r="G24" i="23"/>
  <c r="F24" i="23"/>
  <c r="E24" i="23"/>
  <c r="I23" i="23"/>
  <c r="H23" i="23"/>
  <c r="G23" i="23"/>
  <c r="F23" i="23"/>
  <c r="E23" i="23"/>
  <c r="C32" i="23"/>
  <c r="C31" i="23"/>
  <c r="C30" i="23"/>
  <c r="C29" i="23"/>
  <c r="C26" i="23"/>
  <c r="C25" i="23"/>
  <c r="I22" i="23" l="1"/>
  <c r="G22" i="23"/>
  <c r="G33" i="23" s="1"/>
  <c r="E22" i="23"/>
  <c r="E33" i="23" s="1"/>
  <c r="D22" i="23"/>
  <c r="D33" i="23" s="1"/>
  <c r="F22" i="23"/>
  <c r="F33" i="23" s="1"/>
  <c r="C28" i="23"/>
  <c r="I33" i="23"/>
  <c r="C27" i="23"/>
  <c r="H33" i="23" l="1"/>
  <c r="C33" i="23" s="1"/>
  <c r="T92" i="8" s="1"/>
  <c r="M93" i="8" l="1"/>
  <c r="K93" i="8"/>
  <c r="C38" i="23"/>
</calcChain>
</file>

<file path=xl/sharedStrings.xml><?xml version="1.0" encoding="utf-8"?>
<sst xmlns="http://schemas.openxmlformats.org/spreadsheetml/2006/main" count="1731" uniqueCount="581">
  <si>
    <t>№
п/п</t>
  </si>
  <si>
    <t>Основные технические характеристики</t>
  </si>
  <si>
    <t>Значение показателя</t>
  </si>
  <si>
    <t>Расходы на реализацию мероприятий в прогнозных ценах, тыс. руб. (с НДС)</t>
  </si>
  <si>
    <t>Всего</t>
  </si>
  <si>
    <t>Остаток финанси-рования</t>
  </si>
  <si>
    <t>Наименование
мероприятий</t>
  </si>
  <si>
    <t>Ед.
изм.</t>
  </si>
  <si>
    <t>1.1. Строительство новых тепловых сетей в целях подключения потребителей</t>
  </si>
  <si>
    <t>1.1.1</t>
  </si>
  <si>
    <t>1.1.2</t>
  </si>
  <si>
    <t>1.2.2</t>
  </si>
  <si>
    <t>1.3. Увеличение пропускной способности существующих тепловых сетей в целях подключения потребителей</t>
  </si>
  <si>
    <t>1.3.1</t>
  </si>
  <si>
    <t>1.3.2</t>
  </si>
  <si>
    <t>Всего по группе 1.</t>
  </si>
  <si>
    <t>Всего по группе 2.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</si>
  <si>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</si>
  <si>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</si>
  <si>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</si>
  <si>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</si>
  <si>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</si>
  <si>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</si>
  <si>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5.1.1</t>
  </si>
  <si>
    <t>5.1.2</t>
  </si>
  <si>
    <t>5.1. Вывод из эксплуатации, консервация и демонтаж тепловых сетей</t>
  </si>
  <si>
    <t>5.2.1</t>
  </si>
  <si>
    <t>5.2.2</t>
  </si>
  <si>
    <t>Всего по группе 5.</t>
  </si>
  <si>
    <t>ИТОГО по программе</t>
  </si>
  <si>
    <t>М.П.</t>
  </si>
  <si>
    <t>Группа 1. Строительство, реконструкция или модернизация объектов в целях подключения потребителей: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</si>
  <si>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</si>
  <si>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Инвестиционная программа</t>
  </si>
  <si>
    <t>(наименование регулируемой организации)</t>
  </si>
  <si>
    <t>в т.ч. за счет платы
за под-ключение</t>
  </si>
  <si>
    <t>после</t>
  </si>
  <si>
    <t>реализации</t>
  </si>
  <si>
    <t>мероприятия</t>
  </si>
  <si>
    <t>до</t>
  </si>
  <si>
    <t>Год начала реализации мероприятия</t>
  </si>
  <si>
    <t>Год окончания реализации мероприятия</t>
  </si>
  <si>
    <t>Наименование</t>
  </si>
  <si>
    <t>показателя</t>
  </si>
  <si>
    <t>(мощность,</t>
  </si>
  <si>
    <t>протяженность,</t>
  </si>
  <si>
    <t>диаметр и т.п.)</t>
  </si>
  <si>
    <t>Описание и место расположения
объекта</t>
  </si>
  <si>
    <t>Обоснование необходимости
(цель реализации)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</si>
  <si>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</si>
  <si>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</si>
  <si>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</si>
  <si>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</si>
  <si>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</si>
  <si>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Наименование показателя</t>
  </si>
  <si>
    <t>Ед. изм.</t>
  </si>
  <si>
    <t>Плановые значения</t>
  </si>
  <si>
    <t>в т.ч. по годам реализации</t>
  </si>
  <si>
    <r>
      <t>кВт∙ч/м</t>
    </r>
    <r>
      <rPr>
        <vertAlign val="superscript"/>
        <sz val="8"/>
        <rFont val="Times New Roman"/>
        <family val="1"/>
        <charset val="204"/>
      </rPr>
      <t>3</t>
    </r>
  </si>
  <si>
    <t>2</t>
  </si>
  <si>
    <t>т.у.т./Гкал</t>
  </si>
  <si>
    <r>
      <t>т.у.т./м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</t>
    </r>
  </si>
  <si>
    <t>3</t>
  </si>
  <si>
    <t>Гкал/ч</t>
  </si>
  <si>
    <t>4</t>
  </si>
  <si>
    <t>%</t>
  </si>
  <si>
    <t>Гкал в год</t>
  </si>
  <si>
    <t>% от полезного
отпуска тепловой энергии</t>
  </si>
  <si>
    <t>7</t>
  </si>
  <si>
    <t>в соответствии с законодательством РФ об охране окружающей среды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</si>
  <si>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</si>
  <si>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</si>
  <si>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</si>
  <si>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</si>
  <si>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</si>
  <si>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</si>
  <si>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Текущее значение</t>
  </si>
  <si>
    <t>Плановое значение</t>
  </si>
  <si>
    <t>2016</t>
  </si>
  <si>
    <t>2017</t>
  </si>
  <si>
    <t>Замена двух котлов на центральной котельной СП «село Ачайваям» на новые.</t>
  </si>
  <si>
    <t>Замена двух котлов на котельной «Береговая» СП «село Тиличики» на новые.</t>
  </si>
  <si>
    <t>Модернизация магистральных тепловых сетей системы централизованного теплоснабжения Устьевого СП.</t>
  </si>
  <si>
    <t>Строительство крытого склада запаса топлива для центральной котельной сельского поселения «село Ачайваям».</t>
  </si>
  <si>
    <t>Строительство крытого склада запаса топлива для центральной котельной сельского поселения «село Ковран».</t>
  </si>
  <si>
    <t>2015</t>
  </si>
  <si>
    <t>кВт∙ч</t>
  </si>
  <si>
    <r>
      <t>м</t>
    </r>
    <r>
      <rPr>
        <vertAlign val="superscript"/>
        <sz val="8"/>
        <rFont val="Times New Roman"/>
        <family val="1"/>
        <charset val="204"/>
      </rPr>
      <t>3</t>
    </r>
  </si>
  <si>
    <t>т.у.т.</t>
  </si>
  <si>
    <t>Гкал</t>
  </si>
  <si>
    <t>1</t>
  </si>
  <si>
    <t>8</t>
  </si>
  <si>
    <t>9</t>
  </si>
  <si>
    <t>Апука</t>
  </si>
  <si>
    <t>Ковран</t>
  </si>
  <si>
    <t>Крутогоровский</t>
  </si>
  <si>
    <t>Пахачи</t>
  </si>
  <si>
    <t>Тиличики</t>
  </si>
  <si>
    <t>Тымлат</t>
  </si>
  <si>
    <t>Устьевое</t>
  </si>
  <si>
    <t>Усть-Хайрюзово</t>
  </si>
  <si>
    <t>Хаилино</t>
  </si>
  <si>
    <t>Удельный расход топлива
на производство единицы тепловой энергии, отпускаемой с коллекторов источников тепловой энергии кг.у.т./Гкал.</t>
  </si>
  <si>
    <t>Величина технологических потерь
при передаче тепловой энергии, теплоносителя по тепловым сетям Гкал/год</t>
  </si>
  <si>
    <t>материальная характеристика тепловой сети м2</t>
  </si>
  <si>
    <t>Отношение величины
технологических потерь тепловой энергии, теплоносителя
к материальной характеристике тепловой сети, Гкал/м2</t>
  </si>
  <si>
    <t>2018</t>
  </si>
  <si>
    <t xml:space="preserve">Утвержденный период </t>
  </si>
  <si>
    <t xml:space="preserve">И.о. генерального директора </t>
  </si>
  <si>
    <t xml:space="preserve">Акционерного общества "Корякэнерго" (АО "Корякэнерго") </t>
  </si>
  <si>
    <t>2019</t>
  </si>
  <si>
    <t>-</t>
  </si>
  <si>
    <t>Отчет об исполнении инвестиционной программы</t>
  </si>
  <si>
    <t>Акционерного общества "Корякэнерго" (АО "Корякэнерго")</t>
  </si>
  <si>
    <t xml:space="preserve">в сфере теплоснабжения за </t>
  </si>
  <si>
    <t xml:space="preserve"> год</t>
  </si>
  <si>
    <t>Стоимость мероприятий,
тыс. руб. (с НДС)</t>
  </si>
  <si>
    <t>Примечание</t>
  </si>
  <si>
    <t>план</t>
  </si>
  <si>
    <t>факт</t>
  </si>
  <si>
    <t>1.2.1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</si>
  <si>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</t>
  </si>
  <si>
    <t>Собственные средства</t>
  </si>
  <si>
    <t>Бюджетное финансирование</t>
  </si>
  <si>
    <t>Генеральный директор АО "Корякэнерго"                                                                                                                                                    С.А. Кулинич</t>
  </si>
  <si>
    <t>МП</t>
  </si>
  <si>
    <t>Сводная по предприятию.Теплоснабжение</t>
  </si>
  <si>
    <t>1.2.1.</t>
  </si>
  <si>
    <t>1.2.2.</t>
  </si>
  <si>
    <t>Генеральный директор АО "Корякэнерго"                                                                                                   С.А. Кулинич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</si>
  <si>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</si>
  <si>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</si>
  <si>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</si>
  <si>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</si>
  <si>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Группа 1. Реконструкция и модернизация существующих тепловых сетей</t>
  </si>
  <si>
    <t>паспорт, сроки реализации</t>
  </si>
  <si>
    <t>Рапсхождение со сметой, нет прояженности</t>
  </si>
  <si>
    <t>Нужно вообще все менять на вариамнт уголбной котельной</t>
  </si>
  <si>
    <t>2020</t>
  </si>
  <si>
    <t>АО "Корякэнерго"</t>
  </si>
  <si>
    <t>2015-2018</t>
  </si>
  <si>
    <t>2016-2018</t>
  </si>
  <si>
    <t>2021</t>
  </si>
  <si>
    <t>2022</t>
  </si>
  <si>
    <t>2023</t>
  </si>
  <si>
    <t>Фактические значения (2016)</t>
  </si>
  <si>
    <t>Про-финанси-ровано 
к 2018</t>
  </si>
  <si>
    <t>в сфере теплоснабжения на 2018 - 2023 годы</t>
  </si>
  <si>
    <t>Модернизация системы теплоснабжения микрорайона "Верхние Тиличики" . Строительство новых тепловых сетей</t>
  </si>
  <si>
    <t>Повышение надежности теплоснабжения.</t>
  </si>
  <si>
    <t>Олюторский МР, с.Тиличики</t>
  </si>
  <si>
    <t>п/м</t>
  </si>
  <si>
    <t>Модернизация системы теплоснабжения микрорайона "Верхние Тиличики" . Строительство корпуса 2 котельной "Совхозная"</t>
  </si>
  <si>
    <t>мощность</t>
  </si>
  <si>
    <t>Гкал/час</t>
  </si>
  <si>
    <t>Модернизация системы теплоснабжения микрорайона "Верхние Тиличики" . Строительство ЦТП</t>
  </si>
  <si>
    <t>Мониторинг и оптимизация работы теплотехнического оборудования в котельной</t>
  </si>
  <si>
    <t>Олюторский МР, с.Пахачи</t>
  </si>
  <si>
    <t>количество</t>
  </si>
  <si>
    <t>шт.</t>
  </si>
  <si>
    <t>3.1.1.</t>
  </si>
  <si>
    <t>Замена изношенного оборудования</t>
  </si>
  <si>
    <t>Олюторский МР, с.Хаилино</t>
  </si>
  <si>
    <t>Установленная мощность</t>
  </si>
  <si>
    <t>Повышение надежности теплоснабжения</t>
  </si>
  <si>
    <t>1шт</t>
  </si>
  <si>
    <t>Замена водогрейных котлов №1, №2 на котельной с.Пахачи</t>
  </si>
  <si>
    <t>2х1,44 МВт (2х1,24Гкал/ч)</t>
  </si>
  <si>
    <t>1х0,3 МВт (1х0,25Гкал/ч)</t>
  </si>
  <si>
    <t>Замена водогрейного котла №4 на котельной с.Пахачи</t>
  </si>
  <si>
    <t>Замена водогрейного котла №3 на котельной с.Пахачи</t>
  </si>
  <si>
    <t>1х1,44 МВт (1х1,24Гкал/ч)</t>
  </si>
  <si>
    <t>Работы по замене емкостей запаса воды на стальной резервуар, емкостью 100 куб.м. на котельной с.Пахачи</t>
  </si>
  <si>
    <t>куб.м.</t>
  </si>
  <si>
    <t>2х50 куб.м.</t>
  </si>
  <si>
    <t>2х100 куб.м.</t>
  </si>
  <si>
    <t>Объем емкости</t>
  </si>
  <si>
    <t>Реконструкция здания котельной (с выполнением ПИР)</t>
  </si>
  <si>
    <t>Замена котлов №1 и №2 на новые на котельной №1 с.Хаилино.</t>
  </si>
  <si>
    <t>1x0,93МВт (1x0,8 Гкал/ч)</t>
  </si>
  <si>
    <t>2x0,93МВт (2x0,8 Гкал/ч)</t>
  </si>
  <si>
    <t>Установка технического прибора учета тепловой энергии и теплоносителя на центральной котельной №1 с.Хаилино</t>
  </si>
  <si>
    <t>Установка технического прибора учета тепловой энергии и теплоносителя на центральной котельной №2 с.Хаилино</t>
  </si>
  <si>
    <t>Замена котла №1 на новый на котельной №2 с.Хаилино.</t>
  </si>
  <si>
    <t>Замена котла №2 на новый на котельной №2 с.Хаилино.</t>
  </si>
  <si>
    <t>1x1,16МВт (1x1,0 Гкал/ч)</t>
  </si>
  <si>
    <t>Замена котла №3 на новый на котельной №2 с.Хаилино.</t>
  </si>
  <si>
    <t>Замена котла Navien на новый на школьной котельной с.Хаилино.</t>
  </si>
  <si>
    <t>1x0,15 Гкал/ч</t>
  </si>
  <si>
    <t>Замена котла №1 на новый на котельной "Совхозная" с Тиличики</t>
  </si>
  <si>
    <t>Замена котла №5 на новый на котельной "Совхозная" с Тиличики</t>
  </si>
  <si>
    <t>Замена котла №1  на новый на котельной "Школьная" с.Тиличики</t>
  </si>
  <si>
    <t>1x0,63МВт (1x0,54Гкал/ч)</t>
  </si>
  <si>
    <t>Замена котла №2 на новый на котельной "Школьная" с.Тиличики</t>
  </si>
  <si>
    <t>1x0,93МВт (1x0,8Гкал/ч)</t>
  </si>
  <si>
    <t>Замена котлов №3 и №4 на новые на котельной "Береговая" с.Тиличики.</t>
  </si>
  <si>
    <t>Замена котла №1 на новый на котельной "Гаражная" с.Тиличики</t>
  </si>
  <si>
    <t>Замена котла №2 на новый на котельной "Гаражная" с Тиличики</t>
  </si>
  <si>
    <t>3.2.1.</t>
  </si>
  <si>
    <t>3.2.2.</t>
  </si>
  <si>
    <t>3.2.3.</t>
  </si>
  <si>
    <t>3.2.4.</t>
  </si>
  <si>
    <t>3.2.5.</t>
  </si>
  <si>
    <t>3.2.6.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</si>
  <si>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</si>
  <si>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</si>
  <si>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</si>
  <si>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</si>
  <si>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</si>
  <si>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</si>
  <si>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</si>
  <si>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</si>
  <si>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</si>
  <si>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</si>
  <si>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</si>
  <si>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</si>
  <si>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</si>
  <si>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</si>
  <si>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В том числе Верхние Тиличики</t>
  </si>
  <si>
    <t>Замена котла № 1 на котельной №5 (Колхоз) сельского поселения «село Усть-Хайрюзово» на новый.</t>
  </si>
  <si>
    <t>Замена котла на котельной №3 с.Пахачи на новый</t>
  </si>
  <si>
    <t>Замена в котельной №7 Устьевого сельского поселения котлов №1 и №2 на новые</t>
  </si>
  <si>
    <t>Строительство крытого склада запаса топлива для котельных №1 и №2 сельского поселения «село Хаилино» (разработка проектно-сметной документации).</t>
  </si>
  <si>
    <t>Приобретение основных средств по договору финансового лизинга.</t>
  </si>
  <si>
    <t>Удорожание оборудованияи комплектующих</t>
  </si>
  <si>
    <t>Подрядные работы выполнены без НДС</t>
  </si>
  <si>
    <t>4.1.</t>
  </si>
  <si>
    <t>4.2.</t>
  </si>
  <si>
    <t>4.3.</t>
  </si>
  <si>
    <t>4.4.</t>
  </si>
  <si>
    <t>Мероприятие с выполнения снято</t>
  </si>
  <si>
    <t>Срок реализации перенесен</t>
  </si>
  <si>
    <t>Паспорт инвестиционной программы в сфере теплоснабжения</t>
  </si>
  <si>
    <t>Наименование организации, в отношении которой разрабатывается инвестиционная программа в сфере теплоснабжения</t>
  </si>
  <si>
    <t>Акционергое общество "Корякэнерго" (АО "Корякэнерго")</t>
  </si>
  <si>
    <t>Местонахождение регулируемой организации</t>
  </si>
  <si>
    <t>683013, Камчатский край, г. Петропавловск-Камчатский, ул. Озерная, 1.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</si>
  <si>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</si>
  <si>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</si>
  <si>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</si>
  <si>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, утвердившего инвестиционную программу</t>
  </si>
  <si>
    <t>Региональная служба по тарифам и ценам Камчатского края</t>
  </si>
  <si>
    <t>Местонахождение органа, утвердившего инвестиционную программу</t>
  </si>
  <si>
    <t>683003, Камчатский край, г. Петропавловск-Камчатский, ул. Ленинградская, 118</t>
  </si>
  <si>
    <t>Должностное лицо, утвердившее инвестиционную программу</t>
  </si>
  <si>
    <t>Руководитель Региональной службы по тарифам и ценам Камчатского края Кукиль Олег Николаевич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</si>
  <si>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</si>
  <si>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</si>
  <si>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</si>
  <si>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</si>
  <si>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</si>
  <si>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</si>
  <si>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</si>
  <si>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Акционерного общества "Корякэнерго" "Реконструкция и развитие систем Теплоснабжения АО "Корякэнерго" на 2018-2023 годы"</t>
  </si>
  <si>
    <t>Администрация муниципального образования сельского поселения "село Пахачи" Олюторского муниципального района</t>
  </si>
  <si>
    <t>Администрация муниципального образования сельского поселения "село Хаилино" Олюторского муниципального района</t>
  </si>
  <si>
    <t>2018 - 2023 гг.</t>
  </si>
  <si>
    <t>688820, с. Пахачи Олюторского района Камчатского края, ул. Центральная, 3</t>
  </si>
  <si>
    <t>Глава сельского поселения - глава администрации Лазарев Сергей Петрович</t>
  </si>
  <si>
    <t>Тел.: +7-415-445-50-56; Факс.: 5-50-43
E-mail: pahachi_adm@mail.ru</t>
  </si>
  <si>
    <t>688800 Камчатский край, Олюторский район, с.Тиличики ул.Молодежная,10</t>
  </si>
  <si>
    <t>688823, с. Хаилино Олюторского района Камчатского края, ул. Центральная, 16</t>
  </si>
  <si>
    <t>Глава сельского поселения - глава администрации Марпа Людмила Алексеевна</t>
  </si>
  <si>
    <t>Тел.: +7-415-445-61-23; Факс.: 5-61-51
E-mail: mosp_hailino@mail.ru</t>
  </si>
  <si>
    <t>Тел.: +7-415-445-28-91; Факс.: 52-8-93
E-mail: tilichiki@bk.ru</t>
  </si>
  <si>
    <t>Ведуший экономист отдела экономики производства Ерохин Александр Николаевич</t>
  </si>
  <si>
    <t xml:space="preserve">тел. 8(4152)42-83-81, e-mail: "SLTarif@kamgov.ru" </t>
  </si>
  <si>
    <t>тел. 8(4152) 46-26-47(216); факс 8(4152) 46-26-47(254); E-mail   erohin@korenergo.ru</t>
  </si>
  <si>
    <t>Удельный расход электрической энергии на транспортировку теплоносителя с.Тиличики</t>
  </si>
  <si>
    <t>Удельный расход электрической энергии на транспортировку теплоносителя с.Пахачи</t>
  </si>
  <si>
    <t>Удельный расход электрической энергии на транспортировку теплоносителя с.Хаилино</t>
  </si>
  <si>
    <t>Расход электрической энергии на транспортировку теплоносителя с.Тиличики</t>
  </si>
  <si>
    <t>Расход электрической энергии на транспортировку теплоносителя с.Пахачи</t>
  </si>
  <si>
    <t>Расход электрической энергии на транспортировку теплоносителя с.Хаилино</t>
  </si>
  <si>
    <t>Объем транспортируемого теплоносителяс.Тиличики</t>
  </si>
  <si>
    <t>Объем транспортируемого теплоносителя с.Пахачи</t>
  </si>
  <si>
    <t>Объем транспортируемого теплоносителя с.Хаилино</t>
  </si>
  <si>
    <t>Удельный расход условного топлива на выработку единицы тепловой энергии и (или) теплоносителя с.Тиличики</t>
  </si>
  <si>
    <t>Удельный расход условного топлива на выработку единицы тепловой энергии и (или) теплоносителя с.Пахачи</t>
  </si>
  <si>
    <t>Удельный расход условного топлива на выработку единицы тепловой энергии и (или) теплоносителя с.Хаилино</t>
  </si>
  <si>
    <t>Расход условного топлива с.Тиличики</t>
  </si>
  <si>
    <t>Расход условного топлива с.Пахачи</t>
  </si>
  <si>
    <t>Расход условного топлива с.Хаилино</t>
  </si>
  <si>
    <t>Объем присоединяемой тепловой нагрузки новых потребителей с.Тиличики</t>
  </si>
  <si>
    <t>Объем присоединяемой тепловой нагрузки новых потребителей с.Пахачи</t>
  </si>
  <si>
    <t>Объем присоединяемой тепловой нагрузки новых потребителей с.Хаилино</t>
  </si>
  <si>
    <t>Потери тепловой энергии при передаче тепловой энергии по тепловым сетям с.Тиличики.</t>
  </si>
  <si>
    <t>Потери тепловой энергии при передаче тепловой энергии по тепловым сетям с.Пахачи.</t>
  </si>
  <si>
    <t>Потери тепловой энергии при передаче тепловой энергии по тепловым сетям с.Хаилино.</t>
  </si>
  <si>
    <t>Потери теплоносителя при передаче тепловой энергии по тепловым сетям с.Тиличики</t>
  </si>
  <si>
    <t>Потери теплоносителя при передаче тепловой энергии по тепловым сетям с.Пахачи</t>
  </si>
  <si>
    <t>Потери теплоносителя при передаче тепловой энергии по тепловым сетям с.Хаилино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</si>
  <si>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 в с.Тиличики</t>
  </si>
  <si>
    <t>Не устанавливается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</si>
  <si>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 в с.Пахачи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</si>
  <si>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 в с.Хаилино</t>
  </si>
  <si>
    <t>Генеральный директор  АО "Корякэнерго"                                                                                                                              С.А. Кулинич</t>
  </si>
  <si>
    <t>Финансовый план</t>
  </si>
  <si>
    <t>инвестиционной программы АО "Корякэнерго"  в сфере теплоснабжения</t>
  </si>
  <si>
    <t xml:space="preserve">"Реконструкция и развитие теплоснабжения АО "Корякэнерго" </t>
  </si>
  <si>
    <t xml:space="preserve"> на 2018-2023 годы"</t>
  </si>
  <si>
    <t>Участок теплоснабжения с. Тиличики</t>
  </si>
  <si>
    <t>Источники финансирования</t>
  </si>
  <si>
    <t>Расходы на реализацию инвестиционной программы
(тыс. руб. без НДС)</t>
  </si>
  <si>
    <t>по годам реализации инвестпрограммы</t>
  </si>
  <si>
    <t>1.1</t>
  </si>
  <si>
    <t>амортизационные отчисления</t>
  </si>
  <si>
    <t>1.2</t>
  </si>
  <si>
    <t>прибыль, направленная на инвестиции</t>
  </si>
  <si>
    <t>1.3</t>
  </si>
  <si>
    <t>средства, полученные за счет платы за подключение</t>
  </si>
  <si>
    <t>1.4</t>
  </si>
  <si>
    <t>прочие собственные средства,
в т.ч. средства от эмиссии ценных бумаг</t>
  </si>
  <si>
    <t>Привлеченные средства</t>
  </si>
  <si>
    <t>2.1</t>
  </si>
  <si>
    <t>кредиты</t>
  </si>
  <si>
    <t>2.2</t>
  </si>
  <si>
    <t>займы организаций</t>
  </si>
  <si>
    <t>2.3</t>
  </si>
  <si>
    <t>прочие привлеченные средства</t>
  </si>
  <si>
    <t>Прочие источники финансирования, в т.ч. лизинг</t>
  </si>
  <si>
    <t xml:space="preserve">Справочно: проценты по инвестиционным кредитам </t>
  </si>
  <si>
    <t>Участок теплоснабжения с. Ачайваям</t>
  </si>
  <si>
    <t>Участок теплоснабжения с. Пахачи</t>
  </si>
  <si>
    <t>Участок теплоснабжения с. Хаилино</t>
  </si>
  <si>
    <t>2*925;  2*4050</t>
  </si>
  <si>
    <t>Модернизация системы теплоснабжения микрорайона "Верхние Тиличики" . Строительство новых тепловых сетей (труба стальная Дн325*8, трубы полиэтиленорву Ду 200-50)</t>
  </si>
  <si>
    <t>№ п/п</t>
  </si>
  <si>
    <t>Количество листов</t>
  </si>
  <si>
    <t>Паспорт программы</t>
  </si>
  <si>
    <t>Пояснительная записка</t>
  </si>
  <si>
    <t>Форма № 2-ИП ТС Инвестиционная программа акционерного общества "Корякэнерго" (АО "Корякэнерго") в сфере теплоснабжения на 2018-2023 годы</t>
  </si>
  <si>
    <t>Форма № 3-ИП ТС Плановые значения показателей, достижение которых предусмотрено в результате реализации мероприятий инвестиционной программы акционерного общества "Корякэнерго" (АО "Корякэнерго) в сфере теплоснабжения на 2018-2023 годы</t>
  </si>
  <si>
    <t>Форма № 4-ИП ТС Показатели надежности и энергетической эффективности объектов централизованного теплоснабжения акционерного общества "Корякэнерго" (АО "Корякэнерго) в сфере теплоснабжения на 2018-2023 годы</t>
  </si>
  <si>
    <t>Финансовый план инвестиционной программы АО "Корякэнерго"  в сфере теплоснабжения "Реконструкция и развитие теплоснабжения АО "Корякэнерго"   на 2018-2023 годы" (свод)</t>
  </si>
  <si>
    <t>Расчет процентов по кредиту для целей финансирования инвестиционной программы "Реконструкция и развитие систем теплоснабжения АО "Корякэнерго" на 2018-2023 г.г." (участок теплоснабжения с. Ачайваям)</t>
  </si>
  <si>
    <t>План ввода основных средств по инвестиционному проекту</t>
  </si>
  <si>
    <t>Расчет амортизации</t>
  </si>
  <si>
    <t>Финансовый план реализации мероприятий инвестиционной программы на участке теплоснабжения с. Пахачи</t>
  </si>
  <si>
    <t>Форма № 2-ИП ТС Инвестиционная программа акционерного общества "Корякэнерго" (АО "Корякэнерго") в сфере теплоснабжения на 2018-2023 годы (участок теплоснабжения с. Пахачи)</t>
  </si>
  <si>
    <t>Финансовый план инвестиционной программы АО "Корякэнерго"  в сфере теплоснабжения "Реконструкция и развитие теплоснабжения АО "Корякэнерго"   на 2018-2023 годы" (Участок теплоснабжения с. Пахачи)</t>
  </si>
  <si>
    <t>Расчет процентов по кредиту для целей финансирования инвестиционной программы "Реконструкция и развитие систем теплоснабжения АО "Корякэнерго" на 2018-2023 г.г." (участок теплоснабжения с. Пахачи)</t>
  </si>
  <si>
    <t xml:space="preserve">Финансовый план реализации мероприятий инвестиционной программы на участке теплоснабжения с. Тиличики </t>
  </si>
  <si>
    <t>Форма № 2-ИП ТС Инвестиционная программа акционерного общества "Корякэнерго" (АО "Корякэнерго") в сфере теплоснабжения на 2018-2023 годы (участок теплоснабжения с. Тиличики)</t>
  </si>
  <si>
    <t>Финансовый план инвестиционной программы АО "Корякэнерго"  в сфере теплоснабжения "Реконструкция и развитие теплоснабжения АО "Корякэнерго"   на 2018-2023 годы" (участок теплоснабжения с. Тиличики)</t>
  </si>
  <si>
    <t>Расчет процентов по кредиту для целей финансирования инвестиционной программы "Реконструкция и развитие систем теплоснабжения АО "Корякэнерго" на 2018-2023 г.г." (участок теплоснабжения с. Тиличики)</t>
  </si>
  <si>
    <t>Финансовый план реализации мероприятий инвестиционной программы на участке теплоснабжения с. Хаилино</t>
  </si>
  <si>
    <t>Форма № 2-ИП ТС Инвестиционная программа акционерного общества "Корякэнерго" (АО "Корякэнерго") в сфере теплоснабжения на 2018-2023 годы (участок теплоснабжения с. Хаилино)</t>
  </si>
  <si>
    <t>Финансовый план инвестиционной программы АО "Корякэнерго"  в сфере теплоснабжения "Реконструкция и развитие теплоснабжения АО "Корякэнерго"   на 2018-2023 годы" (участок теплоснабжения с. Хаилино)</t>
  </si>
  <si>
    <t>Расчет процентов по кредиту для целей финансирования инвестиционной программы "Реконструкция и развитие систем теплоснабжения АО "Корякэнерго" на 2018-2023 г.г." (участок теплоснабжения с. Хаилино)</t>
  </si>
  <si>
    <t>1.14.4.</t>
  </si>
  <si>
    <t>1.14.5.</t>
  </si>
  <si>
    <t>1.15.</t>
  </si>
  <si>
    <t>Обосновывающие материалы (сметные расчеты)</t>
  </si>
  <si>
    <t>1.15.1.</t>
  </si>
  <si>
    <t>1.15.2.</t>
  </si>
  <si>
    <t>1.15.3.</t>
  </si>
  <si>
    <t>1.15.4.</t>
  </si>
  <si>
    <t>1.15.5.</t>
  </si>
  <si>
    <t>1.15.6.</t>
  </si>
  <si>
    <t>1.15.7.</t>
  </si>
  <si>
    <t>1.15.8.</t>
  </si>
  <si>
    <t>1.15.9.</t>
  </si>
  <si>
    <t>1.15.10.</t>
  </si>
  <si>
    <t>1.15.11.</t>
  </si>
  <si>
    <t>1.15.12.</t>
  </si>
  <si>
    <t>1.15.13.</t>
  </si>
  <si>
    <t>Реконструкция тепловых сетей подземной прокладки с.Ачайваям (локальная смета)</t>
  </si>
  <si>
    <t>Замена изношенной системы насосного оборудования в котельной с.Ачайваям (локальная смета)</t>
  </si>
  <si>
    <t>Замена изношенной системы тягодутьевого оборудования в котельной с.Ачайваям (локальная смета)</t>
  </si>
  <si>
    <t>Замена водогрейного котла №1 на котельной с. Ачайваям (локальная смета)</t>
  </si>
  <si>
    <t>Замена водогрейного котла №2 на котельной с. Ачайваям  (локальная смета)</t>
  </si>
  <si>
    <t>Замена водогрейного котла №3  на котельной с. Ачайваям (локальная смета)</t>
  </si>
  <si>
    <t>Замена водогрейных котлов №4 и №5 на котельной с. Ачайваям (локальная смета)</t>
  </si>
  <si>
    <r>
      <rPr>
        <sz val="8"/>
        <color theme="1"/>
        <rFont val="Times New Roman"/>
        <family val="1"/>
        <charset val="204"/>
      </rPr>
      <t xml:space="preserve">УСТАНОВКА ТЕХНИЧЕСКОГО ПРИБОРА УЧЕТА ТЕПЛОВОЙ ЭНЕРГИИ И ТЕПЛОНОСИТЕЛЯ НА ЦЕНТРАЛЬНОЙ КОТЕЛЬНОЙ С.АЧАЙВАЯМ </t>
    </r>
    <r>
      <rPr>
        <sz val="12"/>
        <color theme="1"/>
        <rFont val="Times New Roman"/>
        <family val="1"/>
        <charset val="204"/>
      </rPr>
      <t>(локальная смета)</t>
    </r>
  </si>
  <si>
    <t xml:space="preserve"> Работы по замене емкостей запаса воды на стальной резервуар емкостью 100 куб.м. на котельной с.Пахачи. (локальная смета)</t>
  </si>
  <si>
    <t xml:space="preserve"> Реконструкция здания котельной с.Пахачи (локальная смета)</t>
  </si>
  <si>
    <t>Замена водогрейного котла  №3 на котельной с.Пахачи (локальная смета)</t>
  </si>
  <si>
    <t>Замена водогрейного котла №4 на котельной с.Пахачи (локальная смета)</t>
  </si>
  <si>
    <t>Замена водогрейных котлов №1 и №2  на котельной с.Пахачи (локальная смета)</t>
  </si>
  <si>
    <t>Проектные работы.  Реконструкция Центральной котельной с. Пахачи, Олюторского района». Котельная. (сметный расчет)</t>
  </si>
  <si>
    <t>Замена котла №1   на новый на котельной Совхозная  с.Тиличики (локальная смета)</t>
  </si>
  <si>
    <t>Замена котла №1 на новый на котельной  Центральная с. Корф  (локальная смета)</t>
  </si>
  <si>
    <t>Замена котла №1 на новый на котельной Гаражная с. Тиличики (локальная смета)</t>
  </si>
  <si>
    <t>Замена котла №1 на новый на котельной Школьная с. Тиличики (локальная смета)</t>
  </si>
  <si>
    <t>Замена котла №2 на новый на котельной Центральная с.Корф (локальная смета)</t>
  </si>
  <si>
    <t>Замена котла №2 на новый на котельной Школьная  с.Тиличики (локальная смета)</t>
  </si>
  <si>
    <t>Замена котлов №3 и №4 на новые на котельной Береговая с.Тиличики (локальная смета)</t>
  </si>
  <si>
    <t>Замена котла №5 на новый на котельной Совхозная с.Тиличики (локальная смета)</t>
  </si>
  <si>
    <t>Замена водогрейного котла №1 на котельной №2 с.Хаилино (локальная смета)</t>
  </si>
  <si>
    <t>Замена водогрейного котла №2 на котельной №2 с.Хаилино (локальная смета)</t>
  </si>
  <si>
    <t>Замена водогрейного котла №3  на котельной №2 с.Хаилино (локальная смета)</t>
  </si>
  <si>
    <t>Замена котла Navien на новый на Школьная котельной  с.Хаилино (локальная смета)</t>
  </si>
  <si>
    <t>Замена котлов №1 и №2 на новые на котельной №1 с.Хаилино (локальная смета)</t>
  </si>
  <si>
    <t>Замена котла №2 на новый на котельной Гаражная с.Тиличики (локальная смета)</t>
  </si>
  <si>
    <t>Установка технического прибора учета тепловой энергии и теплоносителя на центральной котельной с.Пахачи</t>
  </si>
  <si>
    <t>3.2.7.</t>
  </si>
  <si>
    <t>1.15.14</t>
  </si>
  <si>
    <t>5.15.15.</t>
  </si>
  <si>
    <t>РАБОТЫ ПО УСТАНОВКЕ ТЕХНИЧЕСКОГО ПРИБОРА УЧЕТА ТЕПЛОВОЙ ЭНЕРГИИ И ТЕПЛОНОСИТЕЛЯ НА ЦЕНТРАЛЬНОЙ КОТЕЛЬНОЙ с. ПАХАЧИ</t>
  </si>
  <si>
    <t>5.15.16.</t>
  </si>
  <si>
    <t>5.15.17.</t>
  </si>
  <si>
    <r>
      <rPr>
        <sz val="8"/>
        <color theme="1"/>
        <rFont val="Times New Roman"/>
        <family val="1"/>
        <charset val="204"/>
      </rPr>
      <t>УСТАНОВКА ТЕХНИЧЕСКОГО ПРИБОРА УЧЕТА ТЕПЛОВОЙ ЭНЕРГИИ И ТЕПЛОНОСИТЕЛЯ НА ЦЕНТРАЛЬНОЙ КОТЕЛЬНОЙ № 2 С.ХАИЛИНО</t>
    </r>
    <r>
      <rPr>
        <sz val="12"/>
        <color theme="1"/>
        <rFont val="Times New Roman"/>
        <family val="1"/>
        <charset val="204"/>
      </rPr>
      <t xml:space="preserve"> (локальная смета)</t>
    </r>
  </si>
  <si>
    <r>
      <rPr>
        <sz val="8"/>
        <color theme="1"/>
        <rFont val="Times New Roman"/>
        <family val="1"/>
        <charset val="204"/>
      </rPr>
      <t xml:space="preserve">УСТАНОВКА ТЕХНИЧЕСКОГО ПРИБОРА УЧЕТА ТЕПЛОВОЙ ЭНЕРГИИ И ТЕПЛОНОСИТЕЛЯ НА ЦЕНТРАЛЬНОЙ КОТЕЛЬНОЙ № 1 С.ХАИЛИНО </t>
    </r>
    <r>
      <rPr>
        <sz val="12"/>
        <color theme="1"/>
        <rFont val="Times New Roman"/>
        <family val="1"/>
        <charset val="204"/>
      </rPr>
      <t>(локальная смета)</t>
    </r>
  </si>
  <si>
    <t>5.15.18.</t>
  </si>
  <si>
    <t>5.15.19.</t>
  </si>
  <si>
    <t>5.15.20.</t>
  </si>
  <si>
    <t>5.15.21.</t>
  </si>
  <si>
    <t>5.15.22.</t>
  </si>
  <si>
    <t>5.15.23.</t>
  </si>
  <si>
    <t>5.15.24.</t>
  </si>
  <si>
    <t>5.15.25.</t>
  </si>
  <si>
    <t>5.15.26.</t>
  </si>
  <si>
    <t>5.15.27.</t>
  </si>
  <si>
    <t>5.15.28.</t>
  </si>
  <si>
    <t>5.15.29.</t>
  </si>
  <si>
    <t>5.15.30.</t>
  </si>
  <si>
    <t>5.15.31.</t>
  </si>
  <si>
    <t>5.15.32</t>
  </si>
  <si>
    <t>5.15.33.</t>
  </si>
  <si>
    <t>Приложение № 3 к Концессионному соглашению в отношении объектов коммунальной инфраструктуры теплоснабжения, находящихся в муниципальной собственности сельского поселения "село Ачайваям" Олюторского района Камчатского края от 21.08.2017 г. № 150617/0312698/01</t>
  </si>
  <si>
    <t>Приложение № 3 к Концессионному соглашению в отношении объектов коммунальной инфраструктуры теплоснабжения, находящихся в муниципальной собственности сельского поселения "село Пахачи" Олюторского района Камчатского края от 26.03.2017 г. № 191216/0312698/01</t>
  </si>
  <si>
    <t>Увеличение стоимости по трезультатам проектирования, перенос срока треализации в связи с поздним заключением концессионного соглашения</t>
  </si>
  <si>
    <t>3.1.2.</t>
  </si>
  <si>
    <t>Модернизация магистральных тепловых сетей системы теплоснабжения Крутогоровского СП.</t>
  </si>
  <si>
    <t>Перенос срока реализации в соответствии с концессионным соглашением</t>
  </si>
  <si>
    <t>Корректировка сроков реализации в соответствии с концессионным соглашением</t>
  </si>
  <si>
    <t>Замена котла на котельной №1 с.Хаилино на новый</t>
  </si>
  <si>
    <t>Снижение стоимости по результатам торгов</t>
  </si>
  <si>
    <t>Замена котла на котельной "Совхозная" с.Тиличики на новый</t>
  </si>
  <si>
    <t>Реконструкция здания котельной №1(ЖКО)с.Усть-Хайрюзово.</t>
  </si>
  <si>
    <t>Реконструкция здания котельной №3(Рыбкоп)с.Усть-Хайрюзово.</t>
  </si>
  <si>
    <t>Перненос срока реализации</t>
  </si>
  <si>
    <t>Реконструкция здания котельной №5(Колхоз)с.Усть-Хайрюзово.</t>
  </si>
  <si>
    <t>В соответствии с заключенным договором финансового лизинга</t>
  </si>
  <si>
    <t>ИТОГО на 31.12.2017 г.</t>
  </si>
  <si>
    <t>за 2017 год</t>
  </si>
  <si>
    <t>1.3. Увеличение пропускной способностисуществующих тепловых сетей, в целях подключения потребителей</t>
  </si>
  <si>
    <t>1.4. Увеличение мощности и производительностисуществующих объектов централизованного теплоснабжения, за исключением тепловых сетей, в целях подключения потребителей</t>
  </si>
  <si>
    <t>1.4.4.</t>
  </si>
  <si>
    <t>Установка дополнительного резервного котла на котельной №1 (ЖКО) с.Усть-Хайрюзово</t>
  </si>
  <si>
    <t xml:space="preserve">Износ объектов системы теплоснабжения, в том числе: </t>
  </si>
  <si>
    <t>процент износа объектов, существующих на начало реализации Инвестиционной программы с.Тиличики</t>
  </si>
  <si>
    <t>процент износа объектов, существующих на начало реализации Инвестиционной программы с.Пахачи</t>
  </si>
  <si>
    <t>процент износа объектов, существующих на начало реализации Инвестиционной программы с.Хаилино.</t>
  </si>
  <si>
    <t>Ачайваям 18</t>
  </si>
  <si>
    <t>еще оставить</t>
  </si>
  <si>
    <t>по 2-ИП ТС</t>
  </si>
  <si>
    <t>то же без НДС</t>
  </si>
  <si>
    <t>Форма № 6.1-ИП ТС "Отчет об исполнении инвестиционной программы Акционерного общества "Корякэнерго" (АО "Корякэнерго") в сфере теплоснабжения за 2017 год"</t>
  </si>
  <si>
    <t>Форма № 6.2-ИП ТС "Отчет об исполнении инвестиционной программы Акционерного общества "Корякэнерго" (АО "Корякэнерго") в сфере теплоснабжения за 2017 год"</t>
  </si>
  <si>
    <t>Реестр</t>
  </si>
  <si>
    <t>материалов  к предложениям по корректировке инвестиционной программы АО "Корякэнерго" в сфере теплоснабжения в сельских поселениях "село Хаилино", "село Тиличики", "село Пахачи", "село Ачайваям" Олюторского района на 2018-2023 годы (постановление Региональной службы по тарифам и ценам Камчатского края от 23.10.2017 № 651)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</si>
  <si>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</si>
  <si>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</si>
  <si>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</si>
  <si>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</si>
  <si>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</si>
  <si>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</si>
  <si>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</si>
  <si>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</si>
  <si>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</si>
  <si>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</si>
  <si>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</si>
  <si>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</si>
  <si>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</si>
  <si>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</si>
  <si>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</si>
  <si>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</si>
  <si>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</si>
  <si>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</si>
  <si>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ИТОГО</t>
  </si>
  <si>
    <t>Начальник отдела экономики производства                                                И.В. Ерышева</t>
  </si>
  <si>
    <t>13.</t>
  </si>
  <si>
    <t>13.1.</t>
  </si>
  <si>
    <t>13.2.</t>
  </si>
  <si>
    <t>13.3.</t>
  </si>
  <si>
    <t>Титульный лист</t>
  </si>
  <si>
    <t>Лист учета замечаний Региональной службы по тарифам и ценам Камчатского края от 30.03.2018 г. № 90.01-07/626</t>
  </si>
  <si>
    <t>с ндс</t>
  </si>
  <si>
    <t>без ндс</t>
  </si>
  <si>
    <t>всего</t>
  </si>
  <si>
    <t>дпр  В.Тиличики</t>
  </si>
  <si>
    <t>543 от 03.08.2017 МинЖКХ</t>
  </si>
  <si>
    <t>Реконструкции тепловых сетей подземной прокладки с.Ачайваям</t>
  </si>
  <si>
    <t>Модернизация поселковых тепловых сетей</t>
  </si>
  <si>
    <t>Олюторский МР, с.Ачайваям.</t>
  </si>
  <si>
    <t>км</t>
  </si>
  <si>
    <t>2,659км х2</t>
  </si>
  <si>
    <t>Установка технического прибора учета тепловой энергии и теплоносителя на центральной котельной с.Ачайваям</t>
  </si>
  <si>
    <t>Олюторский МР, с.Ачайваям</t>
  </si>
  <si>
    <t>3.2.22.</t>
  </si>
  <si>
    <t>Замена водогрейного котла №1 на котельной с.Ачайваям</t>
  </si>
  <si>
    <t>1х0,63 МВт (1х0,54Гкал/ч)</t>
  </si>
  <si>
    <t>3.2.23.</t>
  </si>
  <si>
    <t>Замена водогрейного котла №2 на котельной с.Ачайваям</t>
  </si>
  <si>
    <t>1х0,93 МВт (1х0,8Гкал/ч)</t>
  </si>
  <si>
    <t>3.2.24.</t>
  </si>
  <si>
    <t>Замена водогрейного котла №3 на котельной с.Ачайваям</t>
  </si>
  <si>
    <t>3.2.25.</t>
  </si>
  <si>
    <t>Замена водогрейного котла №4 и №5 на котельной с.Ачайваям</t>
  </si>
  <si>
    <t>2х0,93 МВт (2х0,8Гкал/ч)</t>
  </si>
  <si>
    <t>3.2.26.</t>
  </si>
  <si>
    <t>Замена системы изношенного тягодутьевого оборудования в котельной с.Ачайваям</t>
  </si>
  <si>
    <t>шт</t>
  </si>
  <si>
    <t>3.2.27.</t>
  </si>
  <si>
    <t>Замена изношенной системы насосного оборудования в котельной с.Ачайваям</t>
  </si>
  <si>
    <t>исключить с перенесением в программу на 2019-2030</t>
  </si>
  <si>
    <t>Прочие Тиличики без НДС</t>
  </si>
  <si>
    <t>итого</t>
  </si>
  <si>
    <t>по видам деятельности</t>
  </si>
  <si>
    <t>прогизводство пара и горячей воды (тепловой энергии) котельными</t>
  </si>
  <si>
    <t>Справочно</t>
  </si>
  <si>
    <t>Предельные объемы финансирования по концессионному соглашению (по предложениям)</t>
  </si>
  <si>
    <t xml:space="preserve">                       </t>
  </si>
  <si>
    <t>в том числе Верхние Тиличики</t>
  </si>
  <si>
    <t>Капвложения всего</t>
  </si>
  <si>
    <t>капвложения без НДС</t>
  </si>
  <si>
    <t>погашение кредитов</t>
  </si>
  <si>
    <t>типа нужно</t>
  </si>
  <si>
    <t>Справочно: проценты по инвестиционным кредитам</t>
  </si>
  <si>
    <t>Предельные объемы финансирования по концессионному соглашению (с НДС)</t>
  </si>
  <si>
    <t>Накоплено на 01.01.2018 (с НДС)</t>
  </si>
  <si>
    <t>СУММ с НЛС</t>
  </si>
  <si>
    <t>СУММ бепз НДС</t>
  </si>
  <si>
    <t>Справочно: проценты по кредиту</t>
  </si>
  <si>
    <t>без НДС (из прибыли)</t>
  </si>
  <si>
    <t>Капвложения с НДС</t>
  </si>
  <si>
    <t>Капвложения без НДС</t>
  </si>
  <si>
    <t>привлечение/возврат кредитов</t>
  </si>
  <si>
    <t>Приложение 1</t>
  </si>
  <si>
    <t>к постановлению Региональной службы по</t>
  </si>
  <si>
    <t>тарифам и ценам Камчатского края</t>
  </si>
  <si>
    <t>от 25.09.2018 № 177</t>
  </si>
  <si>
    <t>Приложение 2</t>
  </si>
  <si>
    <t xml:space="preserve">Приложение 4 </t>
  </si>
  <si>
    <t xml:space="preserve">Приложение 5 </t>
  </si>
  <si>
    <t xml:space="preserve">Приложение 6 </t>
  </si>
  <si>
    <t>Глава Олюторского района-Свириденко Олег Николаевич</t>
  </si>
  <si>
    <t>Администрация муниципального образования Олюторского муниципального района</t>
  </si>
  <si>
    <t>от 23.11.2017 № 651</t>
  </si>
  <si>
    <t>«Приложение 1</t>
  </si>
  <si>
    <t>».</t>
  </si>
  <si>
    <t>от 25.09.2017 № 177</t>
  </si>
  <si>
    <t>«Приложение 2</t>
  </si>
  <si>
    <t xml:space="preserve">«Приложение 3 </t>
  </si>
  <si>
    <t>Приложение 3</t>
  </si>
  <si>
    <t>Удельный расход электрической энергии на транспортировку теплоносителя с.Ачайваям</t>
  </si>
  <si>
    <t>не планируется</t>
  </si>
  <si>
    <t>Расход электрической энергии на транспортировку теплоносителя с.Ачайваям</t>
  </si>
  <si>
    <t>Объем транспортируемого теплоносителяс.Ачайваям</t>
  </si>
  <si>
    <t>Удельный расход условного топлива на выработку единицы тепловой энергии и (или) теплоносителя с.Ачайваям</t>
  </si>
  <si>
    <t>Расход условного топлива с.Ачайваям</t>
  </si>
  <si>
    <t>Объем присоединяемой тепловой нагрузки новых потребителей с.Ачайваям</t>
  </si>
  <si>
    <t>процент износа объектов, существующих на начало реализации Инвестиционной программы с.Ачайваям.</t>
  </si>
  <si>
    <t>Потери тепловой энергии при передаче тепловой энергии по тепловым сетям с.Ачайваям.</t>
  </si>
  <si>
    <t>тонн в год для воды **</t>
  </si>
  <si>
    <t>куб. м для пара ***</t>
  </si>
  <si>
    <t>Потери теплоносителя при передаче тепловой энергии по тепловым сетям с.Ачайваям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</si>
  <si>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 в с.Ачайваям</t>
  </si>
  <si>
    <t xml:space="preserve">«Приложение 4 </t>
  </si>
  <si>
    <t>Ачайваям</t>
  </si>
  <si>
    <t xml:space="preserve">Генеральный директор АО "Корякэнерго" </t>
  </si>
  <si>
    <t>С.А.Кулинич</t>
  </si>
  <si>
    <t xml:space="preserve">«Приложение 5 </t>
  </si>
  <si>
    <t>АО "Корякэнерго" свод (Ачайваям,Пахачи, Тиличики, Хаилино)</t>
  </si>
  <si>
    <t>Справочно: %% по инвестиционным кредитам</t>
  </si>
  <si>
    <t>Генеральный директор                                                                                                 С.А. Кулинич</t>
  </si>
  <si>
    <t xml:space="preserve">«Приложение 6 </t>
  </si>
  <si>
    <t>Приложение 7</t>
  </si>
  <si>
    <t xml:space="preserve">«Приложение 7 </t>
  </si>
  <si>
    <t>Приложение 8</t>
  </si>
  <si>
    <t xml:space="preserve">«Приложение 8 </t>
  </si>
  <si>
    <t>Приложение 9</t>
  </si>
  <si>
    <t>«Приложение 9</t>
  </si>
  <si>
    <t>Сводная по инвестиционной программе.</t>
  </si>
  <si>
    <t>Выработка тепловой энергии и (или) теплоносителя с.Тиличики</t>
  </si>
  <si>
    <t>Выработка тепловой энергии и (или) теплоносителя с.Пахачи</t>
  </si>
  <si>
    <t>Выработка тепловой энергии и (или) теплоносителя с.Ачайваям</t>
  </si>
  <si>
    <t>Выработка тепловой энергии и (или) теплоносителя с.Хаилино</t>
  </si>
  <si>
    <t>от 17.11.2021 № 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</si>
</sst>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р.&quot;* #,##0.00_);_(&quot;р.&quot;* \(#,##0.00\);_(&quot;р.&quot;* &quot;-&quot;??_);_(@_)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00"/>
    <numFmt numFmtId="171" formatCode="#,##0.00000"/>
    <numFmt numFmtId="172" formatCode="#,##0.000000000"/>
  </numFmts>
  <fonts count="5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6.5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6.5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8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9" fillId="0" borderId="0"/>
    <xf numFmtId="0" fontId="47" fillId="0" borderId="0"/>
  </cellStyleXfs>
  <cellXfs count="610">
    <xf numFmtId="0" fontId="0" fillId="0" borderId="0" xfId="0"/>
    <xf numFmtId="0" fontId="24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" fillId="0" borderId="0" xfId="0" applyFont="1" applyFill="1"/>
    <xf numFmtId="0" fontId="31" fillId="0" borderId="0" xfId="0" applyNumberFormat="1" applyFont="1" applyFill="1"/>
    <xf numFmtId="0" fontId="23" fillId="0" borderId="0" xfId="0" applyNumberFormat="1" applyFont="1" applyFill="1"/>
    <xf numFmtId="0" fontId="31" fillId="0" borderId="0" xfId="0" applyFont="1" applyFill="1"/>
    <xf numFmtId="0" fontId="23" fillId="0" borderId="0" xfId="0" applyFont="1" applyFill="1"/>
    <xf numFmtId="0" fontId="27" fillId="0" borderId="0" xfId="0" applyFont="1" applyFill="1" applyAlignment="1">
      <alignment horizontal="left"/>
    </xf>
    <xf numFmtId="0" fontId="22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5" fillId="0" borderId="0" xfId="0" applyFont="1" applyFill="1"/>
    <xf numFmtId="0" fontId="25" fillId="0" borderId="2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top"/>
    </xf>
    <xf numFmtId="0" fontId="25" fillId="0" borderId="24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49" fontId="28" fillId="0" borderId="27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center"/>
    </xf>
    <xf numFmtId="167" fontId="29" fillId="0" borderId="27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wrapText="1"/>
    </xf>
    <xf numFmtId="49" fontId="23" fillId="0" borderId="29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 wrapText="1"/>
    </xf>
    <xf numFmtId="0" fontId="31" fillId="0" borderId="39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top"/>
    </xf>
    <xf numFmtId="49" fontId="23" fillId="0" borderId="39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" fillId="0" borderId="0" xfId="0" applyFont="1"/>
    <xf numFmtId="49" fontId="24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top"/>
    </xf>
    <xf numFmtId="0" fontId="26" fillId="0" borderId="0" xfId="0" applyFont="1" applyFill="1" applyBorder="1"/>
    <xf numFmtId="0" fontId="27" fillId="0" borderId="0" xfId="0" applyFont="1" applyFill="1" applyBorder="1"/>
    <xf numFmtId="0" fontId="1" fillId="0" borderId="0" xfId="0" applyFont="1" applyFill="1" applyBorder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0" fontId="24" fillId="0" borderId="46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left" wrapText="1"/>
    </xf>
    <xf numFmtId="0" fontId="24" fillId="0" borderId="27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 wrapText="1"/>
    </xf>
    <xf numFmtId="4" fontId="24" fillId="0" borderId="27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8" fontId="24" fillId="0" borderId="27" xfId="0" applyNumberFormat="1" applyFont="1" applyFill="1" applyBorder="1" applyAlignment="1">
      <alignment horizontal="center"/>
    </xf>
    <xf numFmtId="168" fontId="24" fillId="0" borderId="27" xfId="0" applyNumberFormat="1" applyFont="1" applyFill="1" applyBorder="1" applyAlignment="1">
      <alignment horizontal="center" vertical="center"/>
    </xf>
    <xf numFmtId="168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center" vertical="top"/>
    </xf>
    <xf numFmtId="49" fontId="25" fillId="0" borderId="27" xfId="0" applyNumberFormat="1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top"/>
    </xf>
    <xf numFmtId="4" fontId="25" fillId="0" borderId="27" xfId="0" applyNumberFormat="1" applyFont="1" applyFill="1" applyBorder="1" applyAlignment="1">
      <alignment horizontal="center"/>
    </xf>
    <xf numFmtId="168" fontId="25" fillId="0" borderId="27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 vertical="center"/>
    </xf>
    <xf numFmtId="168" fontId="29" fillId="0" borderId="27" xfId="0" applyNumberFormat="1" applyFont="1" applyFill="1" applyBorder="1" applyAlignment="1">
      <alignment horizontal="center" vertical="center"/>
    </xf>
    <xf numFmtId="169" fontId="29" fillId="0" borderId="2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/>
    </xf>
    <xf numFmtId="0" fontId="31" fillId="0" borderId="54" xfId="0" applyNumberFormat="1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31" fillId="0" borderId="0" xfId="0" applyFont="1"/>
    <xf numFmtId="0" fontId="23" fillId="0" borderId="0" xfId="0" applyFont="1"/>
    <xf numFmtId="0" fontId="26" fillId="0" borderId="0" xfId="0" applyFont="1" applyAlignment="1">
      <alignment horizontal="left"/>
    </xf>
    <xf numFmtId="0" fontId="23" fillId="0" borderId="27" xfId="0" applyFont="1" applyBorder="1" applyAlignment="1">
      <alignment horizontal="center" vertical="top"/>
    </xf>
    <xf numFmtId="0" fontId="27" fillId="0" borderId="0" xfId="0" applyFont="1" applyBorder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168" fontId="24" fillId="0" borderId="0" xfId="0" applyNumberFormat="1" applyFont="1" applyFill="1" applyAlignment="1">
      <alignment horizontal="left" vertical="center"/>
    </xf>
    <xf numFmtId="168" fontId="25" fillId="0" borderId="27" xfId="0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top"/>
    </xf>
    <xf numFmtId="4" fontId="24" fillId="0" borderId="27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left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27" xfId="0" applyNumberFormat="1" applyFont="1" applyFill="1" applyBorder="1" applyAlignment="1">
      <alignment horizontal="center" wrapText="1"/>
    </xf>
    <xf numFmtId="4" fontId="23" fillId="0" borderId="0" xfId="0" applyNumberFormat="1" applyFont="1" applyFill="1"/>
    <xf numFmtId="4" fontId="31" fillId="0" borderId="0" xfId="0" applyNumberFormat="1" applyFont="1" applyFill="1"/>
    <xf numFmtId="4" fontId="27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/>
    <xf numFmtId="0" fontId="35" fillId="0" borderId="0" xfId="0" applyFont="1" applyFill="1" applyAlignment="1">
      <alignment horizontal="right"/>
    </xf>
    <xf numFmtId="168" fontId="25" fillId="0" borderId="0" xfId="0" applyNumberFormat="1" applyFont="1" applyFill="1"/>
    <xf numFmtId="0" fontId="34" fillId="0" borderId="0" xfId="0" applyFont="1" applyFill="1"/>
    <xf numFmtId="4" fontId="24" fillId="25" borderId="27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" fontId="24" fillId="25" borderId="27" xfId="0" applyNumberFormat="1" applyFont="1" applyFill="1" applyBorder="1" applyAlignment="1">
      <alignment horizontal="center"/>
    </xf>
    <xf numFmtId="49" fontId="24" fillId="26" borderId="27" xfId="0" applyNumberFormat="1" applyFont="1" applyFill="1" applyBorder="1" applyAlignment="1">
      <alignment horizontal="left" vertical="center"/>
    </xf>
    <xf numFmtId="0" fontId="24" fillId="26" borderId="27" xfId="0" applyFont="1" applyFill="1" applyBorder="1" applyAlignment="1">
      <alignment horizontal="left" vertical="center" wrapText="1"/>
    </xf>
    <xf numFmtId="0" fontId="24" fillId="26" borderId="27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 wrapText="1"/>
    </xf>
    <xf numFmtId="49" fontId="24" fillId="26" borderId="27" xfId="0" applyNumberFormat="1" applyFont="1" applyFill="1" applyBorder="1" applyAlignment="1">
      <alignment horizontal="center" vertical="center"/>
    </xf>
    <xf numFmtId="4" fontId="24" fillId="26" borderId="27" xfId="0" applyNumberFormat="1" applyFont="1" applyFill="1" applyBorder="1" applyAlignment="1">
      <alignment horizontal="center" vertical="center"/>
    </xf>
    <xf numFmtId="168" fontId="24" fillId="26" borderId="27" xfId="0" applyNumberFormat="1" applyFont="1" applyFill="1" applyBorder="1" applyAlignment="1">
      <alignment horizontal="center" vertical="center"/>
    </xf>
    <xf numFmtId="4" fontId="29" fillId="0" borderId="27" xfId="0" applyNumberFormat="1" applyFont="1" applyFill="1" applyBorder="1" applyAlignment="1">
      <alignment horizontal="center" vertical="center"/>
    </xf>
    <xf numFmtId="168" fontId="24" fillId="0" borderId="27" xfId="0" applyNumberFormat="1" applyFont="1" applyFill="1" applyBorder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center" vertical="center"/>
    </xf>
    <xf numFmtId="4" fontId="25" fillId="0" borderId="43" xfId="0" applyNumberFormat="1" applyFont="1" applyFill="1" applyBorder="1" applyAlignment="1">
      <alignment horizontal="center"/>
    </xf>
    <xf numFmtId="168" fontId="3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/>
    <xf numFmtId="0" fontId="36" fillId="0" borderId="0" xfId="0" applyFont="1"/>
    <xf numFmtId="0" fontId="36" fillId="0" borderId="0" xfId="0" applyFont="1" applyBorder="1" applyAlignment="1">
      <alignment vertical="center" wrapText="1"/>
    </xf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6" fillId="0" borderId="0" xfId="0" applyFont="1" applyFill="1"/>
    <xf numFmtId="0" fontId="23" fillId="0" borderId="27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left" wrapText="1"/>
    </xf>
    <xf numFmtId="166" fontId="23" fillId="0" borderId="27" xfId="0" applyNumberFormat="1" applyFont="1" applyBorder="1" applyAlignment="1">
      <alignment horizontal="center"/>
    </xf>
    <xf numFmtId="2" fontId="29" fillId="0" borderId="27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2" fontId="23" fillId="0" borderId="57" xfId="0" applyNumberFormat="1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/>
    <xf numFmtId="0" fontId="22" fillId="0" borderId="0" xfId="0" applyFont="1" applyFill="1" applyAlignment="1"/>
    <xf numFmtId="0" fontId="26" fillId="0" borderId="0" xfId="0" applyFont="1" applyFill="1" applyBorder="1" applyAlignment="1"/>
    <xf numFmtId="0" fontId="22" fillId="0" borderId="11" xfId="0" applyFont="1" applyFill="1" applyBorder="1" applyAlignment="1"/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top"/>
    </xf>
    <xf numFmtId="0" fontId="26" fillId="0" borderId="12" xfId="0" applyFont="1" applyBorder="1" applyAlignment="1">
      <alignment horizontal="left" vertical="top" wrapText="1"/>
    </xf>
    <xf numFmtId="4" fontId="26" fillId="0" borderId="12" xfId="0" applyNumberFormat="1" applyFont="1" applyBorder="1" applyAlignment="1">
      <alignment horizontal="center" vertical="top"/>
    </xf>
    <xf numFmtId="49" fontId="27" fillId="0" borderId="24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horizontal="left" vertical="top" wrapText="1"/>
    </xf>
    <xf numFmtId="4" fontId="27" fillId="0" borderId="12" xfId="0" applyNumberFormat="1" applyFont="1" applyBorder="1" applyAlignment="1">
      <alignment horizontal="center" vertical="top"/>
    </xf>
    <xf numFmtId="49" fontId="27" fillId="0" borderId="25" xfId="0" applyNumberFormat="1" applyFont="1" applyBorder="1" applyAlignment="1">
      <alignment horizontal="center" vertical="top"/>
    </xf>
    <xf numFmtId="4" fontId="27" fillId="0" borderId="27" xfId="0" applyNumberFormat="1" applyFont="1" applyBorder="1"/>
    <xf numFmtId="49" fontId="27" fillId="0" borderId="26" xfId="0" applyNumberFormat="1" applyFont="1" applyBorder="1" applyAlignment="1">
      <alignment horizontal="center" vertical="top"/>
    </xf>
    <xf numFmtId="4" fontId="26" fillId="0" borderId="27" xfId="0" applyNumberFormat="1" applyFont="1" applyBorder="1"/>
    <xf numFmtId="0" fontId="1" fillId="0" borderId="27" xfId="0" applyFont="1" applyBorder="1"/>
    <xf numFmtId="0" fontId="1" fillId="0" borderId="27" xfId="0" applyFont="1" applyBorder="1" applyAlignment="1">
      <alignment vertical="center" wrapText="1"/>
    </xf>
    <xf numFmtId="4" fontId="1" fillId="0" borderId="27" xfId="0" applyNumberFormat="1" applyFont="1" applyBorder="1"/>
    <xf numFmtId="0" fontId="29" fillId="0" borderId="0" xfId="0" applyFont="1" applyAlignment="1">
      <alignment horizontal="center" vertical="top"/>
    </xf>
    <xf numFmtId="4" fontId="26" fillId="0" borderId="27" xfId="0" applyNumberFormat="1" applyFont="1" applyBorder="1" applyAlignment="1">
      <alignment horizontal="center" vertical="top"/>
    </xf>
    <xf numFmtId="4" fontId="27" fillId="0" borderId="27" xfId="0" applyNumberFormat="1" applyFont="1" applyBorder="1" applyAlignment="1">
      <alignment horizontal="center" vertical="top"/>
    </xf>
    <xf numFmtId="4" fontId="27" fillId="0" borderId="1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9" fillId="28" borderId="27" xfId="0" applyFont="1" applyFill="1" applyBorder="1" applyAlignment="1">
      <alignment horizontal="left" vertical="center" wrapText="1"/>
    </xf>
    <xf numFmtId="0" fontId="38" fillId="26" borderId="27" xfId="0" applyFont="1" applyFill="1" applyBorder="1" applyAlignment="1">
      <alignment horizontal="center" vertical="center" wrapText="1"/>
    </xf>
    <xf numFmtId="0" fontId="38" fillId="26" borderId="27" xfId="0" applyFont="1" applyFill="1" applyBorder="1" applyAlignment="1">
      <alignment vertical="center" wrapText="1"/>
    </xf>
    <xf numFmtId="49" fontId="38" fillId="0" borderId="27" xfId="0" applyNumberFormat="1" applyFont="1" applyFill="1" applyBorder="1" applyAlignment="1">
      <alignment horizontal="center" vertical="center" wrapText="1"/>
    </xf>
    <xf numFmtId="165" fontId="29" fillId="0" borderId="27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36" fillId="0" borderId="27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wrapText="1"/>
    </xf>
    <xf numFmtId="4" fontId="27" fillId="0" borderId="27" xfId="0" applyNumberFormat="1" applyFont="1" applyBorder="1" applyAlignment="1">
      <alignment vertical="center"/>
    </xf>
    <xf numFmtId="0" fontId="38" fillId="0" borderId="27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31" fillId="0" borderId="27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9" fillId="0" borderId="2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4" fontId="24" fillId="0" borderId="0" xfId="0" applyNumberFormat="1" applyFont="1" applyFill="1"/>
    <xf numFmtId="0" fontId="24" fillId="27" borderId="27" xfId="0" applyFont="1" applyFill="1" applyBorder="1" applyAlignment="1">
      <alignment horizontal="left"/>
    </xf>
    <xf numFmtId="0" fontId="24" fillId="27" borderId="27" xfId="0" applyFont="1" applyFill="1" applyBorder="1" applyAlignment="1">
      <alignment horizontal="left" wrapText="1"/>
    </xf>
    <xf numFmtId="0" fontId="24" fillId="27" borderId="27" xfId="0" applyFont="1" applyFill="1" applyBorder="1" applyAlignment="1">
      <alignment horizontal="center"/>
    </xf>
    <xf numFmtId="0" fontId="24" fillId="27" borderId="27" xfId="0" applyFont="1" applyFill="1" applyBorder="1" applyAlignment="1">
      <alignment horizontal="left" vertical="center"/>
    </xf>
    <xf numFmtId="0" fontId="24" fillId="27" borderId="27" xfId="0" applyFont="1" applyFill="1" applyBorder="1" applyAlignment="1">
      <alignment horizontal="left" vertical="center" wrapText="1"/>
    </xf>
    <xf numFmtId="0" fontId="24" fillId="27" borderId="27" xfId="0" applyFont="1" applyFill="1" applyBorder="1" applyAlignment="1">
      <alignment horizontal="center" vertical="center"/>
    </xf>
    <xf numFmtId="4" fontId="24" fillId="27" borderId="27" xfId="0" applyNumberFormat="1" applyFont="1" applyFill="1" applyBorder="1" applyAlignment="1">
      <alignment horizontal="center" vertical="center"/>
    </xf>
    <xf numFmtId="49" fontId="24" fillId="27" borderId="27" xfId="0" applyNumberFormat="1" applyFont="1" applyFill="1" applyBorder="1" applyAlignment="1">
      <alignment horizontal="center" vertical="center"/>
    </xf>
    <xf numFmtId="4" fontId="25" fillId="27" borderId="27" xfId="0" applyNumberFormat="1" applyFont="1" applyFill="1" applyBorder="1" applyAlignment="1">
      <alignment horizontal="center"/>
    </xf>
    <xf numFmtId="4" fontId="24" fillId="0" borderId="46" xfId="0" applyNumberFormat="1" applyFont="1" applyFill="1" applyBorder="1" applyAlignment="1">
      <alignment vertical="center"/>
    </xf>
    <xf numFmtId="4" fontId="24" fillId="0" borderId="47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top"/>
    </xf>
    <xf numFmtId="0" fontId="23" fillId="0" borderId="27" xfId="0" applyNumberFormat="1" applyFont="1" applyFill="1" applyBorder="1" applyAlignment="1">
      <alignment horizontal="center"/>
    </xf>
    <xf numFmtId="166" fontId="23" fillId="0" borderId="27" xfId="0" applyNumberFormat="1" applyFont="1" applyFill="1" applyBorder="1" applyAlignment="1">
      <alignment horizontal="center"/>
    </xf>
    <xf numFmtId="0" fontId="23" fillId="0" borderId="27" xfId="0" applyNumberFormat="1" applyFont="1" applyFill="1" applyBorder="1" applyAlignment="1">
      <alignment horizontal="left" wrapText="1"/>
    </xf>
    <xf numFmtId="0" fontId="43" fillId="0" borderId="0" xfId="0" applyFont="1"/>
    <xf numFmtId="10" fontId="28" fillId="0" borderId="27" xfId="0" applyNumberFormat="1" applyFont="1" applyFill="1" applyBorder="1" applyAlignment="1">
      <alignment horizontal="center" vertical="center"/>
    </xf>
    <xf numFmtId="4" fontId="27" fillId="0" borderId="27" xfId="0" applyNumberFormat="1" applyFont="1" applyFill="1" applyBorder="1" applyAlignment="1">
      <alignment horizontal="right"/>
    </xf>
    <xf numFmtId="170" fontId="41" fillId="0" borderId="0" xfId="0" applyNumberFormat="1" applyFont="1"/>
    <xf numFmtId="0" fontId="41" fillId="0" borderId="0" xfId="0" applyFont="1"/>
    <xf numFmtId="0" fontId="45" fillId="0" borderId="27" xfId="0" applyFont="1" applyBorder="1" applyAlignment="1">
      <alignment horizontal="left" vertical="center" wrapText="1"/>
    </xf>
    <xf numFmtId="0" fontId="0" fillId="0" borderId="27" xfId="0" applyBorder="1"/>
    <xf numFmtId="0" fontId="46" fillId="0" borderId="27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23" fillId="29" borderId="15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2" fontId="23" fillId="29" borderId="1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" fontId="22" fillId="0" borderId="0" xfId="0" applyNumberFormat="1" applyFont="1"/>
    <xf numFmtId="3" fontId="24" fillId="24" borderId="27" xfId="0" applyNumberFormat="1" applyFont="1" applyFill="1" applyBorder="1" applyAlignment="1">
      <alignment horizontal="center" vertical="center" wrapText="1"/>
    </xf>
    <xf numFmtId="4" fontId="24" fillId="24" borderId="27" xfId="0" applyNumberFormat="1" applyFont="1" applyFill="1" applyBorder="1" applyAlignment="1">
      <alignment horizontal="center" vertical="center"/>
    </xf>
    <xf numFmtId="4" fontId="24" fillId="24" borderId="27" xfId="0" applyNumberFormat="1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49" fontId="48" fillId="0" borderId="27" xfId="0" applyNumberFormat="1" applyFont="1" applyFill="1" applyBorder="1" applyAlignment="1">
      <alignment horizontal="center" vertical="center"/>
    </xf>
    <xf numFmtId="4" fontId="48" fillId="0" borderId="27" xfId="0" applyNumberFormat="1" applyFont="1" applyFill="1" applyBorder="1" applyAlignment="1">
      <alignment horizontal="center" vertical="center" wrapText="1"/>
    </xf>
    <xf numFmtId="4" fontId="48" fillId="0" borderId="27" xfId="0" applyNumberFormat="1" applyFont="1" applyFill="1" applyBorder="1" applyAlignment="1">
      <alignment horizontal="center" vertical="center"/>
    </xf>
    <xf numFmtId="168" fontId="48" fillId="0" borderId="27" xfId="0" applyNumberFormat="1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52" applyFont="1"/>
    <xf numFmtId="0" fontId="1" fillId="0" borderId="0" xfId="52" applyFont="1" applyAlignment="1">
      <alignment horizontal="right"/>
    </xf>
    <xf numFmtId="0" fontId="1" fillId="0" borderId="0" xfId="52" applyFont="1" applyAlignment="1"/>
    <xf numFmtId="0" fontId="37" fillId="0" borderId="0" xfId="52" applyFont="1"/>
    <xf numFmtId="0" fontId="29" fillId="0" borderId="0" xfId="52" applyFont="1"/>
    <xf numFmtId="0" fontId="22" fillId="0" borderId="11" xfId="52" applyFont="1" applyFill="1" applyBorder="1" applyAlignment="1"/>
    <xf numFmtId="0" fontId="26" fillId="0" borderId="0" xfId="52" applyFont="1"/>
    <xf numFmtId="0" fontId="26" fillId="0" borderId="14" xfId="52" applyFont="1" applyBorder="1" applyAlignment="1">
      <alignment horizontal="center" vertical="center" wrapText="1"/>
    </xf>
    <xf numFmtId="0" fontId="27" fillId="0" borderId="0" xfId="52" applyFont="1"/>
    <xf numFmtId="0" fontId="27" fillId="0" borderId="12" xfId="52" applyFont="1" applyBorder="1" applyAlignment="1">
      <alignment horizontal="center" vertical="center"/>
    </xf>
    <xf numFmtId="0" fontId="27" fillId="0" borderId="12" xfId="52" applyFont="1" applyFill="1" applyBorder="1" applyAlignment="1">
      <alignment horizontal="center" vertical="center"/>
    </xf>
    <xf numFmtId="0" fontId="27" fillId="0" borderId="27" xfId="52" applyFont="1" applyFill="1" applyBorder="1" applyAlignment="1">
      <alignment horizontal="center" vertical="center"/>
    </xf>
    <xf numFmtId="0" fontId="27" fillId="0" borderId="0" xfId="52" applyFont="1" applyAlignment="1">
      <alignment vertical="center"/>
    </xf>
    <xf numFmtId="49" fontId="26" fillId="0" borderId="12" xfId="52" applyNumberFormat="1" applyFont="1" applyBorder="1" applyAlignment="1">
      <alignment horizontal="center" vertical="top"/>
    </xf>
    <xf numFmtId="0" fontId="26" fillId="0" borderId="12" xfId="52" applyFont="1" applyBorder="1" applyAlignment="1">
      <alignment horizontal="left" vertical="top" wrapText="1"/>
    </xf>
    <xf numFmtId="4" fontId="26" fillId="0" borderId="12" xfId="52" applyNumberFormat="1" applyFont="1" applyBorder="1" applyAlignment="1">
      <alignment horizontal="center" vertical="top"/>
    </xf>
    <xf numFmtId="4" fontId="26" fillId="0" borderId="12" xfId="52" applyNumberFormat="1" applyFont="1" applyFill="1" applyBorder="1" applyAlignment="1">
      <alignment horizontal="center" vertical="top"/>
    </xf>
    <xf numFmtId="4" fontId="26" fillId="0" borderId="27" xfId="52" applyNumberFormat="1" applyFont="1" applyFill="1" applyBorder="1" applyAlignment="1">
      <alignment horizontal="center" vertical="top"/>
    </xf>
    <xf numFmtId="49" fontId="27" fillId="0" borderId="24" xfId="52" applyNumberFormat="1" applyFont="1" applyBorder="1" applyAlignment="1">
      <alignment horizontal="center" vertical="top"/>
    </xf>
    <xf numFmtId="0" fontId="27" fillId="0" borderId="12" xfId="52" applyFont="1" applyBorder="1" applyAlignment="1">
      <alignment horizontal="left" vertical="top" wrapText="1"/>
    </xf>
    <xf numFmtId="4" fontId="27" fillId="0" borderId="12" xfId="52" applyNumberFormat="1" applyFont="1" applyBorder="1" applyAlignment="1">
      <alignment horizontal="center" vertical="top"/>
    </xf>
    <xf numFmtId="4" fontId="27" fillId="0" borderId="12" xfId="52" applyNumberFormat="1" applyFont="1" applyFill="1" applyBorder="1" applyAlignment="1">
      <alignment horizontal="center" vertical="top"/>
    </xf>
    <xf numFmtId="4" fontId="27" fillId="0" borderId="27" xfId="52" applyNumberFormat="1" applyFont="1" applyFill="1" applyBorder="1" applyAlignment="1">
      <alignment horizontal="center" vertical="top"/>
    </xf>
    <xf numFmtId="49" fontId="27" fillId="0" borderId="25" xfId="52" applyNumberFormat="1" applyFont="1" applyBorder="1" applyAlignment="1">
      <alignment horizontal="center" vertical="top"/>
    </xf>
    <xf numFmtId="4" fontId="27" fillId="0" borderId="27" xfId="52" applyNumberFormat="1" applyFont="1" applyFill="1" applyBorder="1"/>
    <xf numFmtId="49" fontId="27" fillId="0" borderId="26" xfId="52" applyNumberFormat="1" applyFont="1" applyBorder="1" applyAlignment="1">
      <alignment horizontal="center" vertical="top"/>
    </xf>
    <xf numFmtId="4" fontId="27" fillId="0" borderId="14" xfId="52" applyNumberFormat="1" applyFont="1" applyBorder="1"/>
    <xf numFmtId="4" fontId="27" fillId="0" borderId="27" xfId="52" applyNumberFormat="1" applyFont="1" applyBorder="1"/>
    <xf numFmtId="4" fontId="27" fillId="0" borderId="0" xfId="52" applyNumberFormat="1" applyFont="1"/>
    <xf numFmtId="4" fontId="26" fillId="0" borderId="27" xfId="52" applyNumberFormat="1" applyFont="1" applyFill="1" applyBorder="1"/>
    <xf numFmtId="4" fontId="26" fillId="0" borderId="0" xfId="52" applyNumberFormat="1" applyFont="1"/>
    <xf numFmtId="0" fontId="1" fillId="0" borderId="27" xfId="52" applyFont="1" applyBorder="1"/>
    <xf numFmtId="0" fontId="1" fillId="0" borderId="27" xfId="52" applyFont="1" applyBorder="1" applyAlignment="1">
      <alignment vertical="center" wrapText="1"/>
    </xf>
    <xf numFmtId="4" fontId="1" fillId="0" borderId="27" xfId="52" applyNumberFormat="1" applyFont="1" applyFill="1" applyBorder="1"/>
    <xf numFmtId="170" fontId="1" fillId="0" borderId="0" xfId="52" applyNumberFormat="1" applyFont="1"/>
    <xf numFmtId="0" fontId="22" fillId="0" borderId="0" xfId="52" applyFont="1"/>
    <xf numFmtId="0" fontId="29" fillId="0" borderId="0" xfId="52" applyFont="1" applyAlignment="1">
      <alignment horizontal="center" vertical="top"/>
    </xf>
    <xf numFmtId="4" fontId="1" fillId="0" borderId="27" xfId="52" applyNumberFormat="1" applyFont="1" applyBorder="1"/>
    <xf numFmtId="0" fontId="1" fillId="0" borderId="27" xfId="52" applyFont="1" applyBorder="1" applyAlignment="1">
      <alignment wrapText="1"/>
    </xf>
    <xf numFmtId="4" fontId="1" fillId="0" borderId="0" xfId="52" applyNumberFormat="1" applyFont="1"/>
    <xf numFmtId="0" fontId="26" fillId="0" borderId="0" xfId="52" applyFont="1" applyBorder="1"/>
    <xf numFmtId="4" fontId="26" fillId="0" borderId="27" xfId="52" applyNumberFormat="1" applyFont="1" applyBorder="1"/>
    <xf numFmtId="4" fontId="1" fillId="0" borderId="47" xfId="52" applyNumberFormat="1" applyFont="1" applyBorder="1"/>
    <xf numFmtId="0" fontId="27" fillId="0" borderId="27" xfId="52" applyFont="1" applyBorder="1" applyAlignment="1">
      <alignment horizontal="center" vertical="center"/>
    </xf>
    <xf numFmtId="4" fontId="26" fillId="0" borderId="27" xfId="52" applyNumberFormat="1" applyFont="1" applyBorder="1" applyAlignment="1">
      <alignment horizontal="center" vertical="top"/>
    </xf>
    <xf numFmtId="4" fontId="27" fillId="0" borderId="27" xfId="52" applyNumberFormat="1" applyFont="1" applyBorder="1" applyAlignment="1">
      <alignment horizontal="center" vertical="top"/>
    </xf>
    <xf numFmtId="4" fontId="1" fillId="0" borderId="27" xfId="52" applyNumberFormat="1" applyFont="1" applyBorder="1" applyAlignment="1">
      <alignment vertical="center"/>
    </xf>
    <xf numFmtId="0" fontId="22" fillId="0" borderId="11" xfId="52" applyFont="1" applyFill="1" applyBorder="1" applyAlignment="1">
      <alignment vertical="center"/>
    </xf>
    <xf numFmtId="0" fontId="1" fillId="0" borderId="27" xfId="52" applyFont="1" applyBorder="1" applyAlignment="1">
      <alignment vertical="center"/>
    </xf>
    <xf numFmtId="171" fontId="1" fillId="0" borderId="0" xfId="52" applyNumberFormat="1" applyFont="1"/>
    <xf numFmtId="0" fontId="24" fillId="0" borderId="27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top"/>
    </xf>
    <xf numFmtId="0" fontId="31" fillId="0" borderId="37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14" fontId="36" fillId="29" borderId="27" xfId="0" applyNumberFormat="1" applyFont="1" applyFill="1" applyBorder="1" applyAlignment="1">
      <alignment horizontal="center"/>
    </xf>
    <xf numFmtId="14" fontId="36" fillId="29" borderId="27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justify" vertical="center"/>
    </xf>
    <xf numFmtId="0" fontId="36" fillId="0" borderId="0" xfId="0" applyFont="1" applyBorder="1" applyAlignment="1">
      <alignment horizontal="right" wrapText="1"/>
    </xf>
    <xf numFmtId="0" fontId="47" fillId="0" borderId="0" xfId="0" applyFont="1" applyFill="1"/>
    <xf numFmtId="10" fontId="29" fillId="0" borderId="27" xfId="0" applyNumberFormat="1" applyFont="1" applyFill="1" applyBorder="1" applyAlignment="1">
      <alignment horizontal="center" vertical="center"/>
    </xf>
    <xf numFmtId="0" fontId="37" fillId="0" borderId="0" xfId="0" applyFont="1" applyFill="1"/>
    <xf numFmtId="2" fontId="23" fillId="0" borderId="15" xfId="0" applyNumberFormat="1" applyFont="1" applyFill="1" applyBorder="1" applyAlignment="1">
      <alignment horizontal="center"/>
    </xf>
    <xf numFmtId="2" fontId="23" fillId="0" borderId="45" xfId="0" applyNumberFormat="1" applyFont="1" applyFill="1" applyBorder="1" applyAlignment="1">
      <alignment horizontal="center"/>
    </xf>
    <xf numFmtId="0" fontId="1" fillId="0" borderId="0" xfId="53" applyFont="1"/>
    <xf numFmtId="0" fontId="1" fillId="0" borderId="0" xfId="53" applyFont="1" applyAlignment="1">
      <alignment horizontal="right"/>
    </xf>
    <xf numFmtId="0" fontId="1" fillId="0" borderId="0" xfId="53" applyFont="1" applyAlignment="1"/>
    <xf numFmtId="0" fontId="37" fillId="0" borderId="0" xfId="53" applyFont="1"/>
    <xf numFmtId="0" fontId="29" fillId="0" borderId="0" xfId="53" applyFont="1"/>
    <xf numFmtId="0" fontId="22" fillId="0" borderId="11" xfId="53" applyFont="1" applyFill="1" applyBorder="1" applyAlignment="1"/>
    <xf numFmtId="0" fontId="26" fillId="0" borderId="0" xfId="53" applyFont="1"/>
    <xf numFmtId="0" fontId="26" fillId="0" borderId="14" xfId="53" applyFont="1" applyBorder="1" applyAlignment="1">
      <alignment horizontal="center" vertical="center" wrapText="1"/>
    </xf>
    <xf numFmtId="0" fontId="27" fillId="0" borderId="0" xfId="53" applyFont="1"/>
    <xf numFmtId="0" fontId="27" fillId="0" borderId="12" xfId="53" applyFont="1" applyBorder="1" applyAlignment="1">
      <alignment horizontal="center" vertical="center"/>
    </xf>
    <xf numFmtId="0" fontId="27" fillId="0" borderId="27" xfId="53" applyFont="1" applyBorder="1" applyAlignment="1">
      <alignment horizontal="center" vertical="center"/>
    </xf>
    <xf numFmtId="0" fontId="27" fillId="0" borderId="0" xfId="53" applyFont="1" applyAlignment="1">
      <alignment vertical="center"/>
    </xf>
    <xf numFmtId="49" fontId="26" fillId="0" borderId="12" xfId="53" applyNumberFormat="1" applyFont="1" applyBorder="1" applyAlignment="1">
      <alignment horizontal="center" vertical="top"/>
    </xf>
    <xf numFmtId="0" fontId="26" fillId="0" borderId="12" xfId="53" applyFont="1" applyBorder="1" applyAlignment="1">
      <alignment horizontal="left" vertical="top" wrapText="1"/>
    </xf>
    <xf numFmtId="4" fontId="26" fillId="0" borderId="12" xfId="53" applyNumberFormat="1" applyFont="1" applyBorder="1" applyAlignment="1">
      <alignment horizontal="center" vertical="top"/>
    </xf>
    <xf numFmtId="4" fontId="26" fillId="0" borderId="27" xfId="53" applyNumberFormat="1" applyFont="1" applyBorder="1" applyAlignment="1">
      <alignment horizontal="center" vertical="top"/>
    </xf>
    <xf numFmtId="49" fontId="27" fillId="0" borderId="24" xfId="53" applyNumberFormat="1" applyFont="1" applyBorder="1" applyAlignment="1">
      <alignment horizontal="center" vertical="top"/>
    </xf>
    <xf numFmtId="0" fontId="27" fillId="0" borderId="12" xfId="53" applyFont="1" applyBorder="1" applyAlignment="1">
      <alignment horizontal="left" vertical="top" wrapText="1"/>
    </xf>
    <xf numFmtId="4" fontId="27" fillId="0" borderId="12" xfId="53" applyNumberFormat="1" applyFont="1" applyBorder="1" applyAlignment="1">
      <alignment horizontal="center" vertical="top"/>
    </xf>
    <xf numFmtId="4" fontId="27" fillId="0" borderId="27" xfId="53" applyNumberFormat="1" applyFont="1" applyBorder="1" applyAlignment="1">
      <alignment horizontal="center" vertical="top"/>
    </xf>
    <xf numFmtId="49" fontId="27" fillId="0" borderId="25" xfId="53" applyNumberFormat="1" applyFont="1" applyBorder="1" applyAlignment="1">
      <alignment horizontal="center" vertical="top"/>
    </xf>
    <xf numFmtId="4" fontId="27" fillId="0" borderId="27" xfId="53" applyNumberFormat="1" applyFont="1" applyBorder="1"/>
    <xf numFmtId="49" fontId="27" fillId="0" borderId="26" xfId="53" applyNumberFormat="1" applyFont="1" applyBorder="1" applyAlignment="1">
      <alignment horizontal="center" vertical="top"/>
    </xf>
    <xf numFmtId="4" fontId="27" fillId="0" borderId="27" xfId="53" applyNumberFormat="1" applyFont="1" applyFill="1" applyBorder="1"/>
    <xf numFmtId="4" fontId="26" fillId="0" borderId="27" xfId="53" applyNumberFormat="1" applyFont="1" applyBorder="1"/>
    <xf numFmtId="4" fontId="26" fillId="0" borderId="0" xfId="53" applyNumberFormat="1" applyFont="1"/>
    <xf numFmtId="0" fontId="1" fillId="0" borderId="27" xfId="53" applyFont="1" applyBorder="1"/>
    <xf numFmtId="0" fontId="1" fillId="0" borderId="27" xfId="53" applyFont="1" applyBorder="1" applyAlignment="1">
      <alignment wrapText="1"/>
    </xf>
    <xf numFmtId="4" fontId="27" fillId="0" borderId="12" xfId="53" applyNumberFormat="1" applyFont="1" applyBorder="1" applyAlignment="1">
      <alignment horizontal="center" vertical="center"/>
    </xf>
    <xf numFmtId="4" fontId="27" fillId="0" borderId="27" xfId="53" applyNumberFormat="1" applyFont="1" applyBorder="1" applyAlignment="1">
      <alignment horizontal="center" vertical="center"/>
    </xf>
    <xf numFmtId="172" fontId="1" fillId="0" borderId="0" xfId="53" applyNumberFormat="1" applyFont="1"/>
    <xf numFmtId="0" fontId="22" fillId="0" borderId="0" xfId="53" applyFont="1"/>
    <xf numFmtId="4" fontId="1" fillId="0" borderId="27" xfId="53" applyNumberFormat="1" applyFont="1" applyBorder="1" applyAlignment="1">
      <alignment vertical="center"/>
    </xf>
    <xf numFmtId="4" fontId="1" fillId="0" borderId="27" xfId="53" applyNumberFormat="1" applyFont="1" applyBorder="1" applyAlignment="1">
      <alignment vertical="center" wrapText="1"/>
    </xf>
    <xf numFmtId="0" fontId="1" fillId="0" borderId="46" xfId="53" applyFont="1" applyBorder="1" applyAlignment="1">
      <alignment wrapText="1"/>
    </xf>
    <xf numFmtId="4" fontId="1" fillId="0" borderId="46" xfId="53" applyNumberFormat="1" applyFont="1" applyBorder="1" applyAlignment="1">
      <alignment vertical="center"/>
    </xf>
    <xf numFmtId="4" fontId="1" fillId="0" borderId="46" xfId="53" applyNumberFormat="1" applyFont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168" fontId="24" fillId="27" borderId="27" xfId="0" applyNumberFormat="1" applyFont="1" applyFill="1" applyBorder="1" applyAlignment="1">
      <alignment horizontal="center" vertical="center"/>
    </xf>
    <xf numFmtId="168" fontId="24" fillId="27" borderId="27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left" vertical="center" wrapText="1"/>
    </xf>
    <xf numFmtId="4" fontId="24" fillId="27" borderId="12" xfId="0" applyNumberFormat="1" applyFont="1" applyFill="1" applyBorder="1" applyAlignment="1">
      <alignment horizontal="center" vertical="center"/>
    </xf>
    <xf numFmtId="4" fontId="24" fillId="27" borderId="27" xfId="0" applyNumberFormat="1" applyFont="1" applyFill="1" applyBorder="1" applyAlignment="1">
      <alignment horizontal="center"/>
    </xf>
    <xf numFmtId="168" fontId="24" fillId="27" borderId="12" xfId="0" applyNumberFormat="1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 wrapText="1"/>
    </xf>
    <xf numFmtId="49" fontId="24" fillId="27" borderId="12" xfId="0" applyNumberFormat="1" applyFont="1" applyFill="1" applyBorder="1" applyAlignment="1">
      <alignment horizontal="center" vertical="center" wrapText="1"/>
    </xf>
    <xf numFmtId="4" fontId="24" fillId="27" borderId="12" xfId="0" applyNumberFormat="1" applyFont="1" applyFill="1" applyBorder="1" applyAlignment="1">
      <alignment horizontal="center" vertical="center" wrapText="1"/>
    </xf>
    <xf numFmtId="4" fontId="24" fillId="27" borderId="27" xfId="0" applyNumberFormat="1" applyFont="1" applyFill="1" applyBorder="1" applyAlignment="1">
      <alignment horizontal="center" wrapText="1"/>
    </xf>
    <xf numFmtId="0" fontId="29" fillId="29" borderId="27" xfId="0" applyFont="1" applyFill="1" applyBorder="1" applyAlignment="1">
      <alignment horizontal="left" vertical="center" wrapText="1"/>
    </xf>
    <xf numFmtId="0" fontId="24" fillId="29" borderId="27" xfId="0" applyFont="1" applyFill="1" applyBorder="1" applyAlignment="1">
      <alignment horizontal="left" vertical="center"/>
    </xf>
    <xf numFmtId="0" fontId="24" fillId="29" borderId="27" xfId="0" applyFont="1" applyFill="1" applyBorder="1" applyAlignment="1">
      <alignment horizontal="left" vertical="center" wrapText="1"/>
    </xf>
    <xf numFmtId="0" fontId="24" fillId="29" borderId="27" xfId="0" applyFont="1" applyFill="1" applyBorder="1" applyAlignment="1">
      <alignment horizontal="center" vertical="center"/>
    </xf>
    <xf numFmtId="49" fontId="24" fillId="29" borderId="27" xfId="0" applyNumberFormat="1" applyFont="1" applyFill="1" applyBorder="1" applyAlignment="1">
      <alignment horizontal="center" vertical="center"/>
    </xf>
    <xf numFmtId="4" fontId="24" fillId="29" borderId="27" xfId="0" applyNumberFormat="1" applyFont="1" applyFill="1" applyBorder="1" applyAlignment="1">
      <alignment horizontal="center" vertical="center" wrapText="1"/>
    </xf>
    <xf numFmtId="4" fontId="24" fillId="29" borderId="27" xfId="0" applyNumberFormat="1" applyFont="1" applyFill="1" applyBorder="1" applyAlignment="1">
      <alignment horizontal="center" vertical="center"/>
    </xf>
    <xf numFmtId="168" fontId="24" fillId="29" borderId="27" xfId="0" applyNumberFormat="1" applyFont="1" applyFill="1" applyBorder="1" applyAlignment="1">
      <alignment horizontal="center" vertical="center"/>
    </xf>
    <xf numFmtId="0" fontId="24" fillId="29" borderId="0" xfId="0" applyFont="1" applyFill="1" applyAlignment="1">
      <alignment vertical="center"/>
    </xf>
    <xf numFmtId="168" fontId="24" fillId="29" borderId="0" xfId="0" applyNumberFormat="1" applyFont="1" applyFill="1" applyAlignment="1">
      <alignment horizontal="left" vertical="center"/>
    </xf>
    <xf numFmtId="0" fontId="27" fillId="29" borderId="0" xfId="0" applyFont="1" applyFill="1"/>
    <xf numFmtId="0" fontId="26" fillId="29" borderId="0" xfId="0" applyFont="1" applyFill="1" applyAlignment="1">
      <alignment horizontal="center"/>
    </xf>
    <xf numFmtId="0" fontId="32" fillId="29" borderId="0" xfId="0" applyFont="1" applyFill="1" applyAlignment="1">
      <alignment horizontal="center"/>
    </xf>
    <xf numFmtId="0" fontId="32" fillId="29" borderId="0" xfId="0" applyFont="1" applyFill="1" applyBorder="1" applyAlignment="1">
      <alignment horizontal="center" vertical="center"/>
    </xf>
    <xf numFmtId="0" fontId="22" fillId="29" borderId="0" xfId="0" applyFont="1" applyFill="1"/>
    <xf numFmtId="0" fontId="24" fillId="29" borderId="46" xfId="0" applyFont="1" applyFill="1" applyBorder="1" applyAlignment="1">
      <alignment horizontal="center" vertical="top"/>
    </xf>
    <xf numFmtId="168" fontId="25" fillId="29" borderId="27" xfId="0" applyNumberFormat="1" applyFont="1" applyFill="1" applyBorder="1" applyAlignment="1">
      <alignment horizontal="center"/>
    </xf>
    <xf numFmtId="4" fontId="25" fillId="29" borderId="27" xfId="0" applyNumberFormat="1" applyFont="1" applyFill="1" applyBorder="1" applyAlignment="1">
      <alignment horizontal="center" vertical="center"/>
    </xf>
    <xf numFmtId="168" fontId="25" fillId="29" borderId="27" xfId="0" applyNumberFormat="1" applyFont="1" applyFill="1" applyBorder="1" applyAlignment="1">
      <alignment horizontal="center" vertical="center"/>
    </xf>
    <xf numFmtId="0" fontId="24" fillId="29" borderId="27" xfId="0" applyFont="1" applyFill="1" applyBorder="1" applyAlignment="1">
      <alignment horizontal="center"/>
    </xf>
    <xf numFmtId="0" fontId="24" fillId="29" borderId="46" xfId="0" applyFont="1" applyFill="1" applyBorder="1" applyAlignment="1">
      <alignment horizontal="center"/>
    </xf>
    <xf numFmtId="4" fontId="23" fillId="29" borderId="0" xfId="0" applyNumberFormat="1" applyFont="1" applyFill="1"/>
    <xf numFmtId="171" fontId="31" fillId="29" borderId="0" xfId="0" applyNumberFormat="1" applyFont="1" applyFill="1"/>
    <xf numFmtId="0" fontId="1" fillId="29" borderId="0" xfId="0" applyFont="1" applyFill="1"/>
    <xf numFmtId="0" fontId="24" fillId="29" borderId="27" xfId="0" applyFont="1" applyFill="1" applyBorder="1" applyAlignment="1">
      <alignment horizontal="center" vertical="center" wrapText="1"/>
    </xf>
    <xf numFmtId="0" fontId="25" fillId="29" borderId="0" xfId="0" applyFont="1" applyFill="1"/>
    <xf numFmtId="4" fontId="24" fillId="29" borderId="0" xfId="0" applyNumberFormat="1" applyFont="1" applyFill="1"/>
    <xf numFmtId="0" fontId="24" fillId="29" borderId="0" xfId="0" applyFont="1" applyFill="1" applyAlignment="1">
      <alignment vertical="center" wrapText="1"/>
    </xf>
    <xf numFmtId="0" fontId="24" fillId="29" borderId="0" xfId="0" applyFont="1" applyFill="1"/>
    <xf numFmtId="49" fontId="24" fillId="29" borderId="27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top" wrapText="1"/>
    </xf>
    <xf numFmtId="49" fontId="25" fillId="0" borderId="27" xfId="0" applyNumberFormat="1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/>
    </xf>
    <xf numFmtId="0" fontId="24" fillId="0" borderId="46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wrapText="1"/>
    </xf>
    <xf numFmtId="0" fontId="25" fillId="27" borderId="13" xfId="0" applyFont="1" applyFill="1" applyBorder="1" applyAlignment="1">
      <alignment horizontal="left" wrapText="1"/>
    </xf>
    <xf numFmtId="0" fontId="25" fillId="27" borderId="14" xfId="0" applyFont="1" applyFill="1" applyBorder="1" applyAlignment="1">
      <alignment horizontal="left" wrapText="1"/>
    </xf>
    <xf numFmtId="0" fontId="25" fillId="27" borderId="27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5" fillId="27" borderId="27" xfId="0" applyFont="1" applyFill="1" applyBorder="1" applyAlignment="1">
      <alignment horizontal="left" wrapText="1"/>
    </xf>
    <xf numFmtId="0" fontId="31" fillId="0" borderId="12" xfId="0" applyNumberFormat="1" applyFont="1" applyBorder="1" applyAlignment="1">
      <alignment horizontal="left"/>
    </xf>
    <xf numFmtId="0" fontId="31" fillId="0" borderId="13" xfId="0" applyNumberFormat="1" applyFont="1" applyBorder="1" applyAlignment="1">
      <alignment horizontal="left"/>
    </xf>
    <xf numFmtId="0" fontId="31" fillId="0" borderId="14" xfId="0" applyNumberFormat="1" applyFont="1" applyBorder="1" applyAlignment="1">
      <alignment horizontal="left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top" wrapText="1"/>
    </xf>
    <xf numFmtId="49" fontId="31" fillId="0" borderId="27" xfId="0" applyNumberFormat="1" applyFont="1" applyBorder="1" applyAlignment="1">
      <alignment horizontal="left"/>
    </xf>
    <xf numFmtId="0" fontId="31" fillId="0" borderId="27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31" fillId="0" borderId="12" xfId="0" applyNumberFormat="1" applyFont="1" applyBorder="1" applyAlignment="1">
      <alignment horizontal="left" wrapText="1"/>
    </xf>
    <xf numFmtId="0" fontId="31" fillId="0" borderId="13" xfId="0" applyNumberFormat="1" applyFont="1" applyBorder="1" applyAlignment="1">
      <alignment horizontal="left" wrapText="1"/>
    </xf>
    <xf numFmtId="0" fontId="31" fillId="0" borderId="14" xfId="0" applyNumberFormat="1" applyFont="1" applyBorder="1" applyAlignment="1">
      <alignment horizontal="left" wrapText="1"/>
    </xf>
    <xf numFmtId="0" fontId="31" fillId="0" borderId="12" xfId="0" applyNumberFormat="1" applyFont="1" applyFill="1" applyBorder="1" applyAlignment="1">
      <alignment horizontal="left" wrapText="1"/>
    </xf>
    <xf numFmtId="0" fontId="31" fillId="0" borderId="13" xfId="0" applyNumberFormat="1" applyFont="1" applyFill="1" applyBorder="1" applyAlignment="1">
      <alignment horizontal="left" wrapText="1"/>
    </xf>
    <xf numFmtId="0" fontId="31" fillId="0" borderId="14" xfId="0" applyNumberFormat="1" applyFont="1" applyFill="1" applyBorder="1" applyAlignment="1">
      <alignment horizontal="left" wrapText="1"/>
    </xf>
    <xf numFmtId="0" fontId="31" fillId="0" borderId="12" xfId="0" applyNumberFormat="1" applyFont="1" applyFill="1" applyBorder="1" applyAlignment="1">
      <alignment horizontal="left"/>
    </xf>
    <xf numFmtId="0" fontId="31" fillId="0" borderId="13" xfId="0" applyNumberFormat="1" applyFont="1" applyFill="1" applyBorder="1" applyAlignment="1">
      <alignment horizontal="left"/>
    </xf>
    <xf numFmtId="0" fontId="31" fillId="0" borderId="14" xfId="0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29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29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left"/>
    </xf>
    <xf numFmtId="4" fontId="31" fillId="0" borderId="25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8" fillId="29" borderId="12" xfId="0" applyFont="1" applyFill="1" applyBorder="1" applyAlignment="1">
      <alignment horizontal="left" vertical="center"/>
    </xf>
    <xf numFmtId="0" fontId="28" fillId="29" borderId="13" xfId="0" applyFont="1" applyFill="1" applyBorder="1" applyAlignment="1">
      <alignment horizontal="left" vertical="center"/>
    </xf>
    <xf numFmtId="0" fontId="28" fillId="29" borderId="14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5" fillId="24" borderId="27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29" fillId="0" borderId="46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 wrapText="1"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top" wrapText="1"/>
    </xf>
    <xf numFmtId="0" fontId="31" fillId="0" borderId="19" xfId="0" applyNumberFormat="1" applyFont="1" applyFill="1" applyBorder="1" applyAlignment="1">
      <alignment horizontal="center" vertical="top" wrapText="1"/>
    </xf>
    <xf numFmtId="0" fontId="31" fillId="0" borderId="34" xfId="0" applyNumberFormat="1" applyFont="1" applyFill="1" applyBorder="1" applyAlignment="1">
      <alignment horizontal="center" vertical="top" wrapText="1"/>
    </xf>
    <xf numFmtId="0" fontId="31" fillId="0" borderId="35" xfId="0" applyNumberFormat="1" applyFont="1" applyFill="1" applyBorder="1" applyAlignment="1">
      <alignment horizontal="center" vertical="top" wrapText="1"/>
    </xf>
    <xf numFmtId="0" fontId="31" fillId="0" borderId="58" xfId="0" applyNumberFormat="1" applyFont="1" applyFill="1" applyBorder="1" applyAlignment="1">
      <alignment horizontal="center" vertical="top" wrapText="1"/>
    </xf>
    <xf numFmtId="0" fontId="31" fillId="0" borderId="0" xfId="0" applyNumberFormat="1" applyFont="1" applyFill="1" applyBorder="1" applyAlignment="1">
      <alignment horizontal="center" vertical="top" wrapText="1"/>
    </xf>
    <xf numFmtId="0" fontId="31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Alignment="1">
      <alignment horizontal="center" wrapText="1"/>
    </xf>
    <xf numFmtId="0" fontId="31" fillId="0" borderId="35" xfId="0" applyNumberFormat="1" applyFont="1" applyFill="1" applyBorder="1" applyAlignment="1">
      <alignment horizontal="center" vertical="center"/>
    </xf>
    <xf numFmtId="0" fontId="31" fillId="0" borderId="44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31" fillId="0" borderId="5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31" fillId="0" borderId="55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31" fillId="0" borderId="37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31" fillId="0" borderId="56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 wrapText="1"/>
    </xf>
    <xf numFmtId="0" fontId="31" fillId="0" borderId="5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31" fillId="0" borderId="61" xfId="0" applyNumberFormat="1" applyFont="1" applyFill="1" applyBorder="1" applyAlignment="1">
      <alignment horizontal="center" vertical="center" wrapText="1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61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44" fillId="27" borderId="27" xfId="0" applyFont="1" applyFill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 wrapText="1"/>
    </xf>
    <xf numFmtId="0" fontId="37" fillId="0" borderId="0" xfId="52" applyFont="1" applyAlignment="1">
      <alignment horizontal="center"/>
    </xf>
    <xf numFmtId="0" fontId="37" fillId="0" borderId="0" xfId="52" applyFont="1" applyBorder="1" applyAlignment="1">
      <alignment horizontal="center"/>
    </xf>
    <xf numFmtId="0" fontId="37" fillId="0" borderId="0" xfId="52" applyFont="1" applyAlignment="1">
      <alignment horizontal="center" wrapText="1"/>
    </xf>
    <xf numFmtId="0" fontId="26" fillId="0" borderId="27" xfId="52" applyFont="1" applyBorder="1" applyAlignment="1">
      <alignment horizontal="center" vertical="center"/>
    </xf>
    <xf numFmtId="0" fontId="22" fillId="0" borderId="10" xfId="52" applyFont="1" applyBorder="1" applyAlignment="1">
      <alignment horizontal="center"/>
    </xf>
    <xf numFmtId="0" fontId="50" fillId="0" borderId="46" xfId="52" applyFont="1" applyBorder="1" applyAlignment="1">
      <alignment horizontal="center" vertical="center" wrapText="1"/>
    </xf>
    <xf numFmtId="0" fontId="50" fillId="0" borderId="47" xfId="52" applyFont="1" applyBorder="1" applyAlignment="1">
      <alignment horizontal="center" vertical="center" wrapText="1"/>
    </xf>
    <xf numFmtId="49" fontId="26" fillId="0" borderId="24" xfId="52" applyNumberFormat="1" applyFont="1" applyBorder="1" applyAlignment="1">
      <alignment horizontal="center" vertical="center"/>
    </xf>
    <xf numFmtId="49" fontId="26" fillId="0" borderId="26" xfId="52" applyNumberFormat="1" applyFont="1" applyBorder="1" applyAlignment="1">
      <alignment horizontal="center" vertical="center"/>
    </xf>
    <xf numFmtId="49" fontId="26" fillId="0" borderId="27" xfId="52" applyNumberFormat="1" applyFont="1" applyBorder="1" applyAlignment="1">
      <alignment horizontal="center" vertical="center"/>
    </xf>
    <xf numFmtId="49" fontId="26" fillId="0" borderId="27" xfId="52" applyNumberFormat="1" applyFont="1" applyFill="1" applyBorder="1" applyAlignment="1">
      <alignment horizontal="center" vertical="center"/>
    </xf>
    <xf numFmtId="0" fontId="26" fillId="0" borderId="46" xfId="52" applyFont="1" applyBorder="1" applyAlignment="1">
      <alignment horizontal="center" vertical="center" wrapText="1"/>
    </xf>
    <xf numFmtId="0" fontId="26" fillId="0" borderId="48" xfId="52" applyFont="1" applyBorder="1" applyAlignment="1">
      <alignment horizontal="center" vertical="center" wrapText="1"/>
    </xf>
    <xf numFmtId="0" fontId="26" fillId="0" borderId="47" xfId="52" applyFont="1" applyBorder="1" applyAlignment="1">
      <alignment horizontal="center" vertical="center" wrapText="1"/>
    </xf>
    <xf numFmtId="0" fontId="26" fillId="0" borderId="27" xfId="52" applyFont="1" applyBorder="1" applyAlignment="1">
      <alignment horizontal="center" vertical="center" wrapText="1"/>
    </xf>
    <xf numFmtId="0" fontId="26" fillId="0" borderId="24" xfId="52" applyFont="1" applyBorder="1" applyAlignment="1">
      <alignment horizontal="center" vertical="center"/>
    </xf>
    <xf numFmtId="0" fontId="26" fillId="0" borderId="25" xfId="52" applyFont="1" applyBorder="1" applyAlignment="1">
      <alignment horizontal="center" vertical="center"/>
    </xf>
    <xf numFmtId="0" fontId="26" fillId="0" borderId="26" xfId="52" applyFont="1" applyBorder="1" applyAlignment="1">
      <alignment horizontal="center" vertical="center"/>
    </xf>
    <xf numFmtId="0" fontId="1" fillId="0" borderId="0" xfId="53" applyFont="1" applyAlignment="1">
      <alignment horizontal="right"/>
    </xf>
    <xf numFmtId="0" fontId="37" fillId="0" borderId="0" xfId="53" applyFont="1" applyAlignment="1">
      <alignment horizontal="center"/>
    </xf>
    <xf numFmtId="0" fontId="37" fillId="0" borderId="0" xfId="53" applyFont="1" applyBorder="1" applyAlignment="1">
      <alignment horizontal="center"/>
    </xf>
    <xf numFmtId="0" fontId="37" fillId="0" borderId="0" xfId="53" applyFont="1" applyAlignment="1">
      <alignment horizontal="center" wrapText="1"/>
    </xf>
    <xf numFmtId="0" fontId="26" fillId="0" borderId="27" xfId="53" applyFont="1" applyBorder="1" applyAlignment="1">
      <alignment horizontal="center" vertical="center"/>
    </xf>
    <xf numFmtId="0" fontId="22" fillId="0" borderId="0" xfId="53" applyFont="1" applyAlignment="1">
      <alignment horizontal="center"/>
    </xf>
    <xf numFmtId="0" fontId="50" fillId="0" borderId="46" xfId="53" applyFont="1" applyBorder="1" applyAlignment="1">
      <alignment horizontal="center" vertical="center" wrapText="1"/>
    </xf>
    <xf numFmtId="0" fontId="50" fillId="0" borderId="47" xfId="53" applyFont="1" applyBorder="1" applyAlignment="1">
      <alignment horizontal="center" vertical="center" wrapText="1"/>
    </xf>
    <xf numFmtId="49" fontId="26" fillId="0" borderId="24" xfId="53" applyNumberFormat="1" applyFont="1" applyBorder="1" applyAlignment="1">
      <alignment horizontal="center" vertical="center"/>
    </xf>
    <xf numFmtId="49" fontId="26" fillId="0" borderId="26" xfId="53" applyNumberFormat="1" applyFont="1" applyBorder="1" applyAlignment="1">
      <alignment horizontal="center" vertical="center"/>
    </xf>
    <xf numFmtId="49" fontId="26" fillId="0" borderId="27" xfId="53" applyNumberFormat="1" applyFont="1" applyBorder="1" applyAlignment="1">
      <alignment horizontal="center" vertical="center"/>
    </xf>
    <xf numFmtId="0" fontId="26" fillId="0" borderId="46" xfId="53" applyFont="1" applyBorder="1" applyAlignment="1">
      <alignment horizontal="center" vertical="center" wrapText="1"/>
    </xf>
    <xf numFmtId="0" fontId="26" fillId="0" borderId="48" xfId="53" applyFont="1" applyBorder="1" applyAlignment="1">
      <alignment horizontal="center" vertical="center" wrapText="1"/>
    </xf>
    <xf numFmtId="0" fontId="26" fillId="0" borderId="47" xfId="53" applyFont="1" applyBorder="1" applyAlignment="1">
      <alignment horizontal="center" vertical="center" wrapText="1"/>
    </xf>
    <xf numFmtId="0" fontId="26" fillId="0" borderId="27" xfId="53" applyFont="1" applyBorder="1" applyAlignment="1">
      <alignment horizontal="center" vertical="center" wrapText="1"/>
    </xf>
    <xf numFmtId="0" fontId="26" fillId="0" borderId="24" xfId="53" applyFont="1" applyBorder="1" applyAlignment="1">
      <alignment horizontal="center" vertical="center"/>
    </xf>
    <xf numFmtId="0" fontId="26" fillId="0" borderId="25" xfId="53" applyFont="1" applyBorder="1" applyAlignment="1">
      <alignment horizontal="center" vertical="center"/>
    </xf>
    <xf numFmtId="0" fontId="26" fillId="0" borderId="26" xfId="53" applyFont="1" applyBorder="1" applyAlignment="1">
      <alignment horizontal="center" vertical="center"/>
    </xf>
    <xf numFmtId="0" fontId="1" fillId="0" borderId="0" xfId="52" applyFont="1" applyAlignment="1">
      <alignment horizontal="right"/>
    </xf>
    <xf numFmtId="3" fontId="24" fillId="27" borderId="27" xfId="0" applyNumberFormat="1" applyFont="1" applyFill="1" applyBorder="1" applyAlignment="1">
      <alignment horizontal="center" vertical="center" wrapText="1"/>
    </xf>
    <xf numFmtId="3" fontId="24" fillId="27" borderId="27" xfId="0" applyNumberFormat="1" applyFont="1" applyFill="1" applyBorder="1" applyAlignment="1">
      <alignment horizontal="center" vertical="center"/>
    </xf>
    <xf numFmtId="3" fontId="24" fillId="30" borderId="27" xfId="0" applyNumberFormat="1" applyFont="1" applyFill="1" applyBorder="1" applyAlignment="1">
      <alignment horizontal="center" vertical="center" wrapText="1"/>
    </xf>
    <xf numFmtId="3" fontId="24" fillId="30" borderId="27" xfId="0" applyNumberFormat="1" applyFont="1" applyFill="1" applyBorder="1" applyAlignment="1">
      <alignment horizontal="center" vertical="center"/>
    </xf>
    <xf numFmtId="3" fontId="24" fillId="31" borderId="27" xfId="0" applyNumberFormat="1" applyFont="1" applyFill="1" applyBorder="1" applyAlignment="1">
      <alignment horizontal="center" vertical="center" wrapText="1"/>
    </xf>
    <xf numFmtId="3" fontId="24" fillId="31" borderId="27" xfId="0" applyNumberFormat="1" applyFont="1" applyFill="1" applyBorder="1" applyAlignment="1">
      <alignment horizontal="center" vertical="center"/>
    </xf>
    <xf numFmtId="4" fontId="24" fillId="27" borderId="27" xfId="0" applyNumberFormat="1" applyFont="1" applyFill="1" applyBorder="1" applyAlignment="1">
      <alignment horizontal="center" vertical="center" wrapText="1"/>
    </xf>
    <xf numFmtId="4" fontId="24" fillId="30" borderId="27" xfId="0" applyNumberFormat="1" applyFont="1" applyFill="1" applyBorder="1" applyAlignment="1">
      <alignment horizontal="center" vertical="center"/>
    </xf>
    <xf numFmtId="4" fontId="24" fillId="30" borderId="27" xfId="0" applyNumberFormat="1" applyFont="1" applyFill="1" applyBorder="1" applyAlignment="1">
      <alignment horizontal="center" vertical="center" wrapText="1"/>
    </xf>
    <xf numFmtId="168" fontId="25" fillId="27" borderId="27" xfId="0" applyNumberFormat="1" applyFont="1" applyFill="1" applyBorder="1" applyAlignment="1">
      <alignment horizontal="center" vertical="center"/>
    </xf>
    <xf numFmtId="4" fontId="25" fillId="27" borderId="43" xfId="0" applyNumberFormat="1" applyFont="1" applyFill="1" applyBorder="1" applyAlignment="1">
      <alignment horizontal="center"/>
    </xf>
    <xf numFmtId="168" fontId="31" fillId="27" borderId="27" xfId="0" applyNumberFormat="1" applyFont="1" applyFill="1" applyBorder="1" applyAlignment="1">
      <alignment horizontal="center"/>
    </xf>
    <xf numFmtId="4" fontId="27" fillId="27" borderId="12" xfId="0" applyNumberFormat="1" applyFont="1" applyFill="1" applyBorder="1" applyAlignment="1">
      <alignment horizontal="center" vertical="top"/>
    </xf>
    <xf numFmtId="4" fontId="27" fillId="27" borderId="27" xfId="0" applyNumberFormat="1" applyFont="1" applyFill="1" applyBorder="1" applyAlignment="1">
      <alignment horizontal="center" vertical="top"/>
    </xf>
    <xf numFmtId="4" fontId="27" fillId="27" borderId="12" xfId="52" applyNumberFormat="1" applyFont="1" applyFill="1" applyBorder="1" applyAlignment="1">
      <alignment horizontal="center" vertical="top"/>
    </xf>
    <xf numFmtId="4" fontId="27" fillId="27" borderId="27" xfId="52" applyNumberFormat="1" applyFont="1" applyFill="1" applyBorder="1"/>
  </cellXfs>
  <cellStyles count="5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3 2" xfId="39"/>
    <cellStyle name="Обычный 3 2 3" xfId="40"/>
    <cellStyle name="Обычный 3 3" xfId="41"/>
    <cellStyle name="Обычный 4" xfId="42"/>
    <cellStyle name="Обычный 5" xfId="43"/>
    <cellStyle name="Обычный 5 2" xfId="44"/>
    <cellStyle name="Обычный 5 2 2" xfId="45"/>
    <cellStyle name="Обычный 6" xfId="52"/>
    <cellStyle name="Обычный 7" xfId="53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  <colors>
    <mruColors>
      <color rgb="FFFF3399"/>
      <color rgb="FFFF99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63;&#1091;&#1073;&#1072;&#1082;&#1086;&#1074;&#1072;\&#1048;&#1053;&#1042;&#1045;&#1057;&#1058;&#1055;&#1056;&#1054;&#1043;&#1056;&#1040;&#1052;&#1052;&#1067;\&#1050;&#1054;&#1056;&#1071;&#1050;&#1069;&#1053;&#1045;&#1056;&#1043;&#1054;%202019-2030\&#1048;&#1055;%20&#1058;&#1057;%204%20&#1087;&#1086;&#1089;&#1077;&#1083;&#1082;&#1072;\&#1048;&#1055;%20&#1058;&#1057;%20&#1058;&#1080;&#1083;&#1080;&#1095;&#1080;&#1082;&#1080;%20&#1055;&#1072;&#1093;&#1072;&#1095;&#1080;%20&#1061;&#1072;&#1080;&#1083;&#1080;&#1085;&#1086;%20&#1076;&#1086;&#1088;&#1072;&#1073;&#1086;&#1090;&#1072;&#1085;&#1086;%2011%2004%202018\&#1048;&#1055;%20&#1058;&#1057;%20&#1060;&#1080;&#1085;&#1087;&#1083;&#1072;&#1085;%202018_2023\&#1050;_2018_2023_2_&#1060;&#1080;&#1085;&#1087;&#1083;&#1072;&#1085;%20&#1058;&#1080;&#1083;&#1080;&#1095;&#1080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63;&#1091;&#1073;&#1072;&#1082;&#1086;&#1074;&#1072;\&#1048;&#1053;&#1042;&#1045;&#1057;&#1058;&#1055;&#1056;&#1054;&#1043;&#1056;&#1040;&#1052;&#1052;&#1067;\&#1050;&#1054;&#1056;&#1071;&#1050;&#1069;&#1053;&#1045;&#1056;&#1043;&#1054;%202019-2030\&#1048;&#1055;%20&#1058;&#1057;%204%20&#1087;&#1086;&#1089;&#1077;&#1083;&#1082;&#1072;\!!!%20&#1044;&#1086;&#1088;&#1072;&#1073;&#1086;&#1090;&#1082;&#1072;%20&#1082;%20&#1091;&#1090;&#1074;&#1077;&#1088;&#1078;&#1076;&#1077;&#1085;&#1080;&#1102;%20&#1048;&#1055;%20&#1058;&#1057;%204%20&#1087;&#1086;&#1089;&#1077;&#1083;&#1082;&#1072;\&#1048;&#1055;%20&#1058;&#1057;%20&#1060;&#1080;&#1085;&#1087;&#1083;&#1072;&#1085;%202018_2023\&#1050;_2018_2023_&#1060;&#1080;&#1085;&#1087;&#1083;&#1072;&#1085;%20&#1040;&#1095;&#1072;&#1081;&#1074;&#1072;&#1103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63;&#1091;&#1073;&#1072;&#1082;&#1086;&#1074;&#1072;\&#1048;&#1053;&#1042;&#1045;&#1057;&#1058;&#1055;&#1056;&#1054;&#1043;&#1056;&#1040;&#1052;&#1052;&#1067;\&#1050;&#1054;&#1056;&#1071;&#1050;&#1069;&#1053;&#1045;&#1056;&#1043;&#1054;%202019-2030\&#1048;&#1055;%20&#1058;&#1057;%204%20&#1087;&#1086;&#1089;&#1077;&#1083;&#1082;&#1072;\&#1048;&#1055;%20&#1058;&#1057;%20&#1058;&#1080;&#1083;&#1080;&#1095;&#1080;&#1082;&#1080;%20&#1055;&#1072;&#1093;&#1072;&#1095;&#1080;%20&#1061;&#1072;&#1080;&#1083;&#1080;&#1085;&#1086;%20&#1076;&#1086;&#1088;&#1072;&#1073;&#1086;&#1090;&#1072;&#1085;&#1086;%2011%2004%202018\&#1048;&#1055;%20&#1058;&#1057;%20&#1060;&#1080;&#1085;&#1087;&#1083;&#1072;&#1085;%202018_2023\&#1050;_2018_2023_&#1060;&#1080;&#1085;&#1087;&#1083;&#1072;&#1085;%20&#1055;&#1072;&#1093;&#1072;&#1095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63;&#1091;&#1073;&#1072;&#1082;&#1086;&#1074;&#1072;\&#1048;&#1053;&#1042;&#1045;&#1057;&#1058;&#1055;&#1056;&#1054;&#1043;&#1056;&#1040;&#1052;&#1052;&#1067;\&#1050;&#1054;&#1056;&#1071;&#1050;&#1069;&#1053;&#1045;&#1056;&#1043;&#1054;%202019-2030\&#1048;&#1055;%20&#1058;&#1057;%204%20&#1087;&#1086;&#1089;&#1077;&#1083;&#1082;&#1072;\&#1048;&#1055;%20&#1058;&#1057;%20&#1058;&#1080;&#1083;&#1080;&#1095;&#1080;&#1082;&#1080;%20&#1055;&#1072;&#1093;&#1072;&#1095;&#1080;%20&#1061;&#1072;&#1080;&#1083;&#1080;&#1085;&#1086;%20&#1076;&#1086;&#1088;&#1072;&#1073;&#1086;&#1090;&#1072;&#1085;&#1086;%2011%2004%202018\&#1048;&#1055;%20&#1058;&#1057;%20&#1060;&#1080;&#1085;&#1087;&#1083;&#1072;&#1085;%202018_2023\&#1050;_2018_2023_&#1060;&#1080;&#1085;&#1087;&#1083;&#1072;&#1085;%20&#1061;&#1072;&#1080;&#1083;&#1080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2 ИП ТС"/>
      <sheetName val=" 2.2"/>
      <sheetName val=" 2.3"/>
      <sheetName val="финплан"/>
      <sheetName val=" 4.2"/>
      <sheetName val="4.3"/>
      <sheetName val="График ввода"/>
      <sheetName val="Кредит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Тарифные последствия"/>
      <sheetName val="Смета"/>
      <sheetName val="График амотриз"/>
      <sheetName val="Расчет амортизации"/>
      <sheetName val="Ведомость амортизации 2015"/>
    </sheetNames>
    <sheetDataSet>
      <sheetData sheetId="0"/>
      <sheetData sheetId="1">
        <row r="51">
          <cell r="K51">
            <v>217946.58402896114</v>
          </cell>
          <cell r="L51">
            <v>201381.11118339997</v>
          </cell>
          <cell r="P51">
            <v>0</v>
          </cell>
          <cell r="Q51">
            <v>4364.0027914169095</v>
          </cell>
          <cell r="R51">
            <v>4534.9999954673794</v>
          </cell>
          <cell r="S5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G31">
            <v>153727.82947655453</v>
          </cell>
        </row>
        <row r="32">
          <cell r="G32">
            <v>153727.82947655453</v>
          </cell>
        </row>
        <row r="116">
          <cell r="F116">
            <v>-3.2154802306365588E-5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G9">
            <v>14962521.90613731</v>
          </cell>
          <cell r="H9">
            <v>14156313.793880876</v>
          </cell>
          <cell r="I9">
            <v>12463734.696528416</v>
          </cell>
          <cell r="J9">
            <v>12298270.165469607</v>
          </cell>
          <cell r="K9">
            <v>12738454.291405383</v>
          </cell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2 ИП ТС"/>
      <sheetName val=" 2.2"/>
      <sheetName val=" 2.3"/>
      <sheetName val="финплан"/>
      <sheetName val="4.3"/>
      <sheetName val="График ввода"/>
      <sheetName val="Кредит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Тарифные последствия"/>
      <sheetName val="Смета"/>
      <sheetName val="График амотриз"/>
      <sheetName val="Расчет амортизации"/>
    </sheetNames>
    <sheetDataSet>
      <sheetData sheetId="0"/>
      <sheetData sheetId="1">
        <row r="51"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</sheetData>
      <sheetData sheetId="2"/>
      <sheetData sheetId="3"/>
      <sheetData sheetId="4"/>
      <sheetData sheetId="5"/>
      <sheetData sheetId="6"/>
      <sheetData sheetId="7"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G11">
            <v>613154.52</v>
          </cell>
          <cell r="L11">
            <v>0</v>
          </cell>
        </row>
        <row r="12">
          <cell r="L12">
            <v>0</v>
          </cell>
        </row>
        <row r="16">
          <cell r="L16">
            <v>0</v>
          </cell>
        </row>
        <row r="22">
          <cell r="L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2 ИП ТС"/>
      <sheetName val=" 2.2"/>
      <sheetName val=" 2.3"/>
      <sheetName val="финплан"/>
      <sheetName val="4.3"/>
      <sheetName val="График ввода"/>
      <sheetName val="Кредит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Тарифные последствия"/>
      <sheetName val="Смета"/>
      <sheetName val="График амотриз"/>
      <sheetName val="Расчет амортизации"/>
      <sheetName val="Ведомость амортизации 2015"/>
    </sheetNames>
    <sheetDataSet>
      <sheetData sheetId="0"/>
      <sheetData sheetId="1">
        <row r="53">
          <cell r="AA53">
            <v>18806.872933133414</v>
          </cell>
        </row>
      </sheetData>
      <sheetData sheetId="2"/>
      <sheetData sheetId="3"/>
      <sheetData sheetId="4"/>
      <sheetData sheetId="5"/>
      <sheetData sheetId="6"/>
      <sheetData sheetId="7">
        <row r="83">
          <cell r="E83">
            <v>57.156750000000017</v>
          </cell>
        </row>
        <row r="84">
          <cell r="E84">
            <v>405.52470250780766</v>
          </cell>
        </row>
        <row r="85">
          <cell r="E85">
            <v>310.47664491758451</v>
          </cell>
        </row>
        <row r="86">
          <cell r="E86">
            <v>354.48164062500007</v>
          </cell>
        </row>
        <row r="87">
          <cell r="E87">
            <v>0</v>
          </cell>
        </row>
        <row r="88">
          <cell r="E88">
            <v>188.89511718750003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G11">
            <v>595431.0223352164</v>
          </cell>
          <cell r="H11">
            <v>882185.10561469407</v>
          </cell>
          <cell r="I11">
            <v>1637566.94839098</v>
          </cell>
          <cell r="J11">
            <v>1788993.6482591531</v>
          </cell>
          <cell r="L11">
            <v>2138611.7910705605</v>
          </cell>
        </row>
      </sheetData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2 ИП ТС"/>
      <sheetName val=" 2.2"/>
      <sheetName val=" 2.3"/>
      <sheetName val="финплан"/>
      <sheetName val="4.3"/>
      <sheetName val="График ввода"/>
      <sheetName val="Кредит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Тарифные последствия"/>
      <sheetName val="Смета"/>
      <sheetName val="График амотриз"/>
      <sheetName val="Расчет амортизации"/>
      <sheetName val="Ведомость амортизации 2015"/>
    </sheetNames>
    <sheetDataSet>
      <sheetData sheetId="0"/>
      <sheetData sheetId="1">
        <row r="52">
          <cell r="K52">
            <v>14114.70003946812</v>
          </cell>
          <cell r="M52">
            <v>0</v>
          </cell>
          <cell r="N52">
            <v>0</v>
          </cell>
          <cell r="O52">
            <v>6711.0000260054276</v>
          </cell>
          <cell r="P52">
            <v>4676.0000046611103</v>
          </cell>
          <cell r="R52">
            <v>0</v>
          </cell>
          <cell r="AA52">
            <v>11961.610202939084</v>
          </cell>
        </row>
      </sheetData>
      <sheetData sheetId="2"/>
      <sheetData sheetId="3"/>
      <sheetData sheetId="4"/>
      <sheetData sheetId="5"/>
      <sheetData sheetId="6"/>
      <sheetData sheetId="7">
        <row r="84">
          <cell r="E84">
            <v>0</v>
          </cell>
        </row>
        <row r="85">
          <cell r="E85">
            <v>0</v>
          </cell>
        </row>
        <row r="86">
          <cell r="E86">
            <v>134.41572289714736</v>
          </cell>
        </row>
        <row r="87">
          <cell r="E87">
            <v>132.99511707895638</v>
          </cell>
        </row>
        <row r="88">
          <cell r="E88">
            <v>69.559371895142093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4">
          <cell r="K134">
            <v>3527.9441428719451</v>
          </cell>
        </row>
        <row r="135">
          <cell r="L135">
            <v>3962.7118683568733</v>
          </cell>
        </row>
      </sheetData>
      <sheetData sheetId="24"/>
      <sheetData sheetId="25">
        <row r="11">
          <cell r="H11">
            <v>382470.94564164657</v>
          </cell>
          <cell r="I11">
            <v>428612.52984277933</v>
          </cell>
          <cell r="J11">
            <v>1179490.256316066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C77"/>
  <sheetViews>
    <sheetView view="pageBreakPreview" topLeftCell="A30" zoomScale="120" zoomScaleNormal="100" zoomScaleSheetLayoutView="120" workbookViewId="0">
      <selection activeCell="B7" sqref="B7"/>
    </sheetView>
  </sheetViews>
  <sheetFormatPr defaultRowHeight="12.75" x14ac:dyDescent="0.2"/>
  <cols>
    <col min="1" max="1" width="8.7109375" customWidth="1"/>
    <col min="2" max="2" width="75.42578125" customWidth="1"/>
    <col min="3" max="3" width="12.42578125" customWidth="1"/>
  </cols>
  <sheetData>
    <row r="2" spans="1:3" ht="14.25" x14ac:dyDescent="0.2">
      <c r="A2" s="391" t="s">
        <v>451</v>
      </c>
      <c r="B2" s="391"/>
      <c r="C2" s="391"/>
    </row>
    <row r="3" spans="1:3" ht="78" customHeight="1" x14ac:dyDescent="0.2">
      <c r="A3" s="392" t="s">
        <v>452</v>
      </c>
      <c r="B3" s="392"/>
      <c r="C3" s="392"/>
    </row>
    <row r="4" spans="1:3" ht="31.5" x14ac:dyDescent="0.2">
      <c r="A4" s="168" t="s">
        <v>327</v>
      </c>
      <c r="B4" s="168" t="s">
        <v>42</v>
      </c>
      <c r="C4" s="168" t="s">
        <v>328</v>
      </c>
    </row>
    <row r="5" spans="1:3" ht="30" x14ac:dyDescent="0.2">
      <c r="A5" s="168" t="s">
        <v>453</v>
      </c>
      <c r="B5" s="217" t="s">
        <v>478</v>
      </c>
      <c r="C5" s="168">
        <v>1</v>
      </c>
    </row>
    <row r="6" spans="1:3" ht="15.75" x14ac:dyDescent="0.2">
      <c r="A6" s="169" t="s">
        <v>454</v>
      </c>
      <c r="B6" s="217" t="s">
        <v>477</v>
      </c>
      <c r="C6" s="168">
        <v>1</v>
      </c>
    </row>
    <row r="7" spans="1:3" ht="15.75" x14ac:dyDescent="0.2">
      <c r="A7" s="169" t="s">
        <v>455</v>
      </c>
      <c r="B7" s="170" t="s">
        <v>329</v>
      </c>
      <c r="C7" s="169">
        <v>2</v>
      </c>
    </row>
    <row r="8" spans="1:3" ht="15.75" x14ac:dyDescent="0.2">
      <c r="A8" s="169" t="s">
        <v>456</v>
      </c>
      <c r="B8" s="170" t="s">
        <v>330</v>
      </c>
      <c r="C8" s="169">
        <v>6</v>
      </c>
    </row>
    <row r="9" spans="1:3" ht="47.25" x14ac:dyDescent="0.2">
      <c r="A9" s="169" t="s">
        <v>457</v>
      </c>
      <c r="B9" s="170" t="s">
        <v>449</v>
      </c>
      <c r="C9" s="169">
        <v>1</v>
      </c>
    </row>
    <row r="10" spans="1:3" ht="47.25" x14ac:dyDescent="0.2">
      <c r="A10" s="169" t="s">
        <v>458</v>
      </c>
      <c r="B10" s="170" t="s">
        <v>450</v>
      </c>
      <c r="C10" s="169">
        <v>2</v>
      </c>
    </row>
    <row r="11" spans="1:3" ht="47.25" x14ac:dyDescent="0.2">
      <c r="A11" s="169" t="s">
        <v>459</v>
      </c>
      <c r="B11" s="170" t="s">
        <v>331</v>
      </c>
      <c r="C11" s="169">
        <v>2</v>
      </c>
    </row>
    <row r="12" spans="1:3" ht="63" x14ac:dyDescent="0.2">
      <c r="A12" s="169" t="s">
        <v>460</v>
      </c>
      <c r="B12" s="170" t="s">
        <v>332</v>
      </c>
      <c r="C12" s="169">
        <v>2</v>
      </c>
    </row>
    <row r="13" spans="1:3" ht="63" x14ac:dyDescent="0.2">
      <c r="A13" s="169" t="s">
        <v>461</v>
      </c>
      <c r="B13" s="170" t="s">
        <v>333</v>
      </c>
      <c r="C13" s="169">
        <v>1</v>
      </c>
    </row>
    <row r="14" spans="1:3" ht="47.25" x14ac:dyDescent="0.2">
      <c r="A14" s="169" t="s">
        <v>462</v>
      </c>
      <c r="B14" s="170" t="s">
        <v>334</v>
      </c>
      <c r="C14" s="169">
        <v>1</v>
      </c>
    </row>
    <row r="15" spans="1:3" ht="63" hidden="1" x14ac:dyDescent="0.2">
      <c r="A15" s="169"/>
      <c r="B15" s="170" t="s">
        <v>335</v>
      </c>
      <c r="C15" s="169">
        <v>2</v>
      </c>
    </row>
    <row r="16" spans="1:3" ht="15.75" hidden="1" x14ac:dyDescent="0.2">
      <c r="A16" s="169"/>
      <c r="B16" s="172" t="s">
        <v>336</v>
      </c>
      <c r="C16" s="169">
        <v>2</v>
      </c>
    </row>
    <row r="17" spans="1:3" ht="15.75" hidden="1" x14ac:dyDescent="0.2">
      <c r="A17" s="169"/>
      <c r="B17" s="172" t="s">
        <v>337</v>
      </c>
      <c r="C17" s="169">
        <v>1</v>
      </c>
    </row>
    <row r="18" spans="1:3" ht="25.5" x14ac:dyDescent="0.2">
      <c r="A18" s="169" t="s">
        <v>463</v>
      </c>
      <c r="B18" s="173" t="s">
        <v>338</v>
      </c>
      <c r="C18" s="169">
        <f>C19+C20+C21</f>
        <v>4</v>
      </c>
    </row>
    <row r="19" spans="1:3" ht="47.25" x14ac:dyDescent="0.2">
      <c r="A19" s="169" t="s">
        <v>464</v>
      </c>
      <c r="B19" s="171" t="s">
        <v>339</v>
      </c>
      <c r="C19" s="169">
        <v>1</v>
      </c>
    </row>
    <row r="20" spans="1:3" ht="47.25" x14ac:dyDescent="0.2">
      <c r="A20" s="169" t="s">
        <v>465</v>
      </c>
      <c r="B20" s="170" t="s">
        <v>340</v>
      </c>
      <c r="C20" s="169">
        <v>1</v>
      </c>
    </row>
    <row r="21" spans="1:3" ht="63" x14ac:dyDescent="0.2">
      <c r="A21" s="169" t="s">
        <v>466</v>
      </c>
      <c r="B21" s="170" t="s">
        <v>341</v>
      </c>
      <c r="C21" s="169">
        <v>2</v>
      </c>
    </row>
    <row r="22" spans="1:3" ht="15.75" hidden="1" x14ac:dyDescent="0.2">
      <c r="A22" s="169"/>
      <c r="B22" s="172" t="s">
        <v>336</v>
      </c>
      <c r="C22" s="169">
        <v>2</v>
      </c>
    </row>
    <row r="23" spans="1:3" ht="15.75" hidden="1" x14ac:dyDescent="0.2">
      <c r="A23" s="169"/>
      <c r="B23" s="172" t="s">
        <v>337</v>
      </c>
      <c r="C23" s="169">
        <v>2</v>
      </c>
    </row>
    <row r="24" spans="1:3" ht="25.5" x14ac:dyDescent="0.2">
      <c r="A24" s="169" t="s">
        <v>467</v>
      </c>
      <c r="B24" s="173" t="s">
        <v>342</v>
      </c>
      <c r="C24" s="169">
        <f>C25+C26+C27</f>
        <v>6</v>
      </c>
    </row>
    <row r="25" spans="1:3" ht="47.25" x14ac:dyDescent="0.2">
      <c r="A25" s="169" t="s">
        <v>468</v>
      </c>
      <c r="B25" s="171" t="s">
        <v>343</v>
      </c>
      <c r="C25" s="169">
        <v>2</v>
      </c>
    </row>
    <row r="26" spans="1:3" ht="47.25" x14ac:dyDescent="0.2">
      <c r="A26" s="169" t="s">
        <v>469</v>
      </c>
      <c r="B26" s="170" t="s">
        <v>344</v>
      </c>
      <c r="C26" s="169">
        <v>1</v>
      </c>
    </row>
    <row r="27" spans="1:3" ht="63" x14ac:dyDescent="0.2">
      <c r="A27" s="169" t="s">
        <v>470</v>
      </c>
      <c r="B27" s="170" t="s">
        <v>345</v>
      </c>
      <c r="C27" s="169">
        <v>3</v>
      </c>
    </row>
    <row r="28" spans="1:3" ht="15.75" hidden="1" x14ac:dyDescent="0.2">
      <c r="A28" s="169"/>
      <c r="B28" s="172" t="s">
        <v>336</v>
      </c>
      <c r="C28" s="169">
        <v>2</v>
      </c>
    </row>
    <row r="29" spans="1:3" ht="15.75" hidden="1" x14ac:dyDescent="0.2">
      <c r="A29" s="169"/>
      <c r="B29" s="172" t="s">
        <v>337</v>
      </c>
      <c r="C29" s="169">
        <v>3</v>
      </c>
    </row>
    <row r="30" spans="1:3" ht="25.5" x14ac:dyDescent="0.2">
      <c r="A30" s="169" t="s">
        <v>473</v>
      </c>
      <c r="B30" s="173" t="s">
        <v>346</v>
      </c>
      <c r="C30" s="169">
        <f>C31+C32+C33</f>
        <v>4</v>
      </c>
    </row>
    <row r="31" spans="1:3" ht="47.25" x14ac:dyDescent="0.2">
      <c r="A31" s="169" t="s">
        <v>474</v>
      </c>
      <c r="B31" s="171" t="s">
        <v>347</v>
      </c>
      <c r="C31" s="169">
        <v>1</v>
      </c>
    </row>
    <row r="32" spans="1:3" ht="47.25" x14ac:dyDescent="0.2">
      <c r="A32" s="169" t="s">
        <v>475</v>
      </c>
      <c r="B32" s="170" t="s">
        <v>348</v>
      </c>
      <c r="C32" s="169">
        <v>1</v>
      </c>
    </row>
    <row r="33" spans="1:3" ht="69.75" customHeight="1" x14ac:dyDescent="0.2">
      <c r="A33" s="169" t="s">
        <v>476</v>
      </c>
      <c r="B33" s="170" t="s">
        <v>349</v>
      </c>
      <c r="C33" s="169">
        <v>2</v>
      </c>
    </row>
    <row r="34" spans="1:3" ht="15.75" hidden="1" x14ac:dyDescent="0.2">
      <c r="A34" s="169" t="s">
        <v>350</v>
      </c>
      <c r="B34" s="172" t="s">
        <v>336</v>
      </c>
      <c r="C34" s="169">
        <v>2</v>
      </c>
    </row>
    <row r="35" spans="1:3" ht="15.75" hidden="1" x14ac:dyDescent="0.2">
      <c r="A35" s="169" t="s">
        <v>351</v>
      </c>
      <c r="B35" s="172" t="s">
        <v>337</v>
      </c>
      <c r="C35" s="169">
        <v>2</v>
      </c>
    </row>
    <row r="36" spans="1:3" ht="15.75" hidden="1" x14ac:dyDescent="0.2">
      <c r="A36" s="174" t="s">
        <v>352</v>
      </c>
      <c r="B36" s="175" t="s">
        <v>353</v>
      </c>
      <c r="C36" s="174">
        <f>SUM(C37:C69)</f>
        <v>155</v>
      </c>
    </row>
    <row r="37" spans="1:3" ht="31.5" hidden="1" x14ac:dyDescent="0.2">
      <c r="A37" s="176" t="s">
        <v>354</v>
      </c>
      <c r="B37" s="185" t="s">
        <v>367</v>
      </c>
      <c r="C37" s="169">
        <v>2</v>
      </c>
    </row>
    <row r="38" spans="1:3" ht="31.5" hidden="1" x14ac:dyDescent="0.2">
      <c r="A38" s="176" t="s">
        <v>355</v>
      </c>
      <c r="B38" s="185" t="s">
        <v>368</v>
      </c>
      <c r="C38" s="169">
        <v>2</v>
      </c>
    </row>
    <row r="39" spans="1:3" ht="31.5" hidden="1" x14ac:dyDescent="0.2">
      <c r="A39" s="176" t="s">
        <v>356</v>
      </c>
      <c r="B39" s="185" t="s">
        <v>369</v>
      </c>
      <c r="C39" s="169">
        <v>2</v>
      </c>
    </row>
    <row r="40" spans="1:3" ht="31.5" hidden="1" x14ac:dyDescent="0.2">
      <c r="A40" s="176" t="s">
        <v>357</v>
      </c>
      <c r="B40" s="185" t="s">
        <v>370</v>
      </c>
      <c r="C40" s="169">
        <v>6</v>
      </c>
    </row>
    <row r="41" spans="1:3" ht="31.5" hidden="1" x14ac:dyDescent="0.2">
      <c r="A41" s="176" t="s">
        <v>358</v>
      </c>
      <c r="B41" s="185" t="s">
        <v>371</v>
      </c>
      <c r="C41" s="169">
        <v>5</v>
      </c>
    </row>
    <row r="42" spans="1:3" ht="31.5" hidden="1" x14ac:dyDescent="0.2">
      <c r="A42" s="176" t="s">
        <v>359</v>
      </c>
      <c r="B42" s="185" t="s">
        <v>372</v>
      </c>
      <c r="C42" s="169">
        <v>5</v>
      </c>
    </row>
    <row r="43" spans="1:3" ht="31.5" hidden="1" x14ac:dyDescent="0.2">
      <c r="A43" s="176" t="s">
        <v>360</v>
      </c>
      <c r="B43" s="185" t="s">
        <v>373</v>
      </c>
      <c r="C43" s="169">
        <v>6</v>
      </c>
    </row>
    <row r="44" spans="1:3" ht="27" hidden="1" x14ac:dyDescent="0.2">
      <c r="A44" s="176" t="s">
        <v>361</v>
      </c>
      <c r="B44" s="185" t="s">
        <v>374</v>
      </c>
      <c r="C44" s="169">
        <v>5</v>
      </c>
    </row>
    <row r="45" spans="1:3" ht="31.5" hidden="1" x14ac:dyDescent="0.2">
      <c r="A45" s="176" t="s">
        <v>362</v>
      </c>
      <c r="B45" s="185" t="s">
        <v>375</v>
      </c>
      <c r="C45" s="169">
        <v>6</v>
      </c>
    </row>
    <row r="46" spans="1:3" ht="15.75" hidden="1" x14ac:dyDescent="0.2">
      <c r="A46" s="176" t="s">
        <v>363</v>
      </c>
      <c r="B46" s="185" t="s">
        <v>376</v>
      </c>
      <c r="C46" s="169">
        <v>2</v>
      </c>
    </row>
    <row r="47" spans="1:3" ht="15.75" hidden="1" x14ac:dyDescent="0.2">
      <c r="A47" s="176" t="s">
        <v>364</v>
      </c>
      <c r="B47" s="185" t="s">
        <v>377</v>
      </c>
      <c r="C47" s="169">
        <v>6</v>
      </c>
    </row>
    <row r="48" spans="1:3" ht="15.75" hidden="1" x14ac:dyDescent="0.2">
      <c r="A48" s="176" t="s">
        <v>365</v>
      </c>
      <c r="B48" s="185" t="s">
        <v>378</v>
      </c>
      <c r="C48" s="169">
        <v>6</v>
      </c>
    </row>
    <row r="49" spans="1:3" ht="33" hidden="1" customHeight="1" x14ac:dyDescent="0.2">
      <c r="A49" s="176" t="s">
        <v>366</v>
      </c>
      <c r="B49" s="185" t="s">
        <v>379</v>
      </c>
      <c r="C49" s="169">
        <v>5</v>
      </c>
    </row>
    <row r="50" spans="1:3" ht="31.5" hidden="1" x14ac:dyDescent="0.2">
      <c r="A50" s="176" t="s">
        <v>397</v>
      </c>
      <c r="B50" s="185" t="s">
        <v>380</v>
      </c>
      <c r="C50" s="169">
        <v>2</v>
      </c>
    </row>
    <row r="51" spans="1:3" ht="24" hidden="1" x14ac:dyDescent="0.2">
      <c r="A51" s="176" t="s">
        <v>398</v>
      </c>
      <c r="B51" s="186" t="s">
        <v>399</v>
      </c>
      <c r="C51" s="169">
        <v>9</v>
      </c>
    </row>
    <row r="52" spans="1:3" ht="31.5" hidden="1" x14ac:dyDescent="0.2">
      <c r="A52" s="176" t="s">
        <v>400</v>
      </c>
      <c r="B52" s="185" t="s">
        <v>394</v>
      </c>
      <c r="C52" s="169">
        <v>5</v>
      </c>
    </row>
    <row r="53" spans="1:3" ht="31.5" hidden="1" x14ac:dyDescent="0.2">
      <c r="A53" s="176" t="s">
        <v>401</v>
      </c>
      <c r="B53" s="185" t="s">
        <v>381</v>
      </c>
      <c r="C53" s="169">
        <v>5</v>
      </c>
    </row>
    <row r="54" spans="1:3" ht="31.5" hidden="1" x14ac:dyDescent="0.2">
      <c r="A54" s="176" t="s">
        <v>404</v>
      </c>
      <c r="B54" s="185" t="s">
        <v>382</v>
      </c>
      <c r="C54" s="169">
        <v>5</v>
      </c>
    </row>
    <row r="55" spans="1:3" ht="31.5" hidden="1" x14ac:dyDescent="0.2">
      <c r="A55" s="176" t="s">
        <v>405</v>
      </c>
      <c r="B55" s="185" t="s">
        <v>383</v>
      </c>
      <c r="C55" s="169">
        <v>5</v>
      </c>
    </row>
    <row r="56" spans="1:3" ht="31.5" hidden="1" x14ac:dyDescent="0.2">
      <c r="A56" s="176" t="s">
        <v>406</v>
      </c>
      <c r="B56" s="185" t="s">
        <v>384</v>
      </c>
      <c r="C56" s="169">
        <v>5</v>
      </c>
    </row>
    <row r="57" spans="1:3" ht="31.5" hidden="1" x14ac:dyDescent="0.2">
      <c r="A57" s="176" t="s">
        <v>407</v>
      </c>
      <c r="B57" s="185" t="s">
        <v>385</v>
      </c>
      <c r="C57" s="169">
        <v>5</v>
      </c>
    </row>
    <row r="58" spans="1:3" ht="31.5" hidden="1" x14ac:dyDescent="0.2">
      <c r="A58" s="176" t="s">
        <v>408</v>
      </c>
      <c r="B58" s="185" t="s">
        <v>386</v>
      </c>
      <c r="C58" s="169">
        <v>5</v>
      </c>
    </row>
    <row r="59" spans="1:3" ht="31.5" hidden="1" x14ac:dyDescent="0.2">
      <c r="A59" s="176" t="s">
        <v>409</v>
      </c>
      <c r="B59" s="185" t="s">
        <v>387</v>
      </c>
      <c r="C59" s="169">
        <v>5</v>
      </c>
    </row>
    <row r="60" spans="1:3" ht="31.5" hidden="1" x14ac:dyDescent="0.2">
      <c r="A60" s="176" t="s">
        <v>410</v>
      </c>
      <c r="B60" s="185" t="s">
        <v>388</v>
      </c>
      <c r="C60" s="169">
        <v>5</v>
      </c>
    </row>
    <row r="61" spans="1:3" ht="31.5" hidden="1" x14ac:dyDescent="0.2">
      <c r="A61" s="176" t="s">
        <v>411</v>
      </c>
      <c r="B61" s="185" t="s">
        <v>389</v>
      </c>
      <c r="C61" s="169">
        <v>5</v>
      </c>
    </row>
    <row r="62" spans="1:3" ht="31.5" hidden="1" x14ac:dyDescent="0.2">
      <c r="A62" s="176" t="s">
        <v>412</v>
      </c>
      <c r="B62" s="185" t="s">
        <v>390</v>
      </c>
      <c r="C62" s="169">
        <v>5</v>
      </c>
    </row>
    <row r="63" spans="1:3" ht="31.5" hidden="1" x14ac:dyDescent="0.2">
      <c r="A63" s="176" t="s">
        <v>413</v>
      </c>
      <c r="B63" s="185" t="s">
        <v>391</v>
      </c>
      <c r="C63" s="169">
        <v>5</v>
      </c>
    </row>
    <row r="64" spans="1:3" ht="31.5" hidden="1" x14ac:dyDescent="0.2">
      <c r="A64" s="176" t="s">
        <v>414</v>
      </c>
      <c r="B64" s="185" t="s">
        <v>392</v>
      </c>
      <c r="C64" s="169">
        <v>2</v>
      </c>
    </row>
    <row r="65" spans="1:3" ht="31.5" hidden="1" x14ac:dyDescent="0.2">
      <c r="A65" s="176" t="s">
        <v>415</v>
      </c>
      <c r="B65" s="185" t="s">
        <v>393</v>
      </c>
      <c r="C65" s="169">
        <v>4</v>
      </c>
    </row>
    <row r="66" spans="1:3" ht="27" hidden="1" x14ac:dyDescent="0.2">
      <c r="A66" s="176" t="s">
        <v>416</v>
      </c>
      <c r="B66" s="185" t="s">
        <v>402</v>
      </c>
      <c r="C66" s="169">
        <v>5</v>
      </c>
    </row>
    <row r="67" spans="1:3" ht="27" hidden="1" x14ac:dyDescent="0.2">
      <c r="A67" s="176" t="s">
        <v>417</v>
      </c>
      <c r="B67" s="185" t="s">
        <v>403</v>
      </c>
      <c r="C67" s="169">
        <v>5</v>
      </c>
    </row>
    <row r="68" spans="1:3" ht="78.75" hidden="1" x14ac:dyDescent="0.2">
      <c r="A68" s="176" t="s">
        <v>418</v>
      </c>
      <c r="B68" s="185" t="s">
        <v>421</v>
      </c>
      <c r="C68" s="169">
        <v>2</v>
      </c>
    </row>
    <row r="69" spans="1:3" ht="78.75" hidden="1" x14ac:dyDescent="0.2">
      <c r="A69" s="176" t="s">
        <v>419</v>
      </c>
      <c r="B69" s="185" t="s">
        <v>420</v>
      </c>
      <c r="C69" s="169">
        <v>8</v>
      </c>
    </row>
    <row r="70" spans="1:3" ht="15.75" x14ac:dyDescent="0.2">
      <c r="A70" s="218"/>
      <c r="B70" s="219" t="s">
        <v>471</v>
      </c>
      <c r="C70" s="220">
        <f>SUM(C5:C18,C24,C30)</f>
        <v>38</v>
      </c>
    </row>
    <row r="73" spans="1:3" ht="15.75" x14ac:dyDescent="0.2">
      <c r="A73" s="393" t="s">
        <v>472</v>
      </c>
      <c r="B73" s="393"/>
      <c r="C73" s="393"/>
    </row>
    <row r="74" spans="1:3" ht="30" customHeight="1" x14ac:dyDescent="0.2">
      <c r="C74">
        <f>SUM(C7:C14,C18,C24,C30)</f>
        <v>31</v>
      </c>
    </row>
    <row r="75" spans="1:3" x14ac:dyDescent="0.2">
      <c r="C75">
        <v>2</v>
      </c>
    </row>
    <row r="76" spans="1:3" x14ac:dyDescent="0.2">
      <c r="C76">
        <v>1</v>
      </c>
    </row>
    <row r="77" spans="1:3" x14ac:dyDescent="0.2">
      <c r="C77">
        <f>C74+C75+C76</f>
        <v>34</v>
      </c>
    </row>
  </sheetData>
  <mergeCells count="3">
    <mergeCell ref="A2:C2"/>
    <mergeCell ref="A3:C3"/>
    <mergeCell ref="A73:C73"/>
  </mergeCells>
  <pageMargins left="0.4" right="0.19" top="0.35433070866141736" bottom="0.35433070866141736" header="0.31496062992125984" footer="0.31496062992125984"/>
  <pageSetup paperSize="9" fitToHeight="2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41"/>
  <sheetViews>
    <sheetView view="pageBreakPreview" topLeftCell="A4" zoomScale="110" zoomScaleNormal="100" zoomScaleSheetLayoutView="110" workbookViewId="0">
      <selection activeCell="D41" sqref="D41"/>
    </sheetView>
  </sheetViews>
  <sheetFormatPr defaultRowHeight="12.75" x14ac:dyDescent="0.2"/>
  <cols>
    <col min="1" max="1" width="4.28515625" customWidth="1"/>
    <col min="2" max="2" width="31" customWidth="1"/>
    <col min="3" max="3" width="9.5703125" bestFit="1" customWidth="1"/>
    <col min="4" max="9" width="9.5703125" customWidth="1"/>
    <col min="10" max="10" width="9.140625" hidden="1" customWidth="1"/>
    <col min="11" max="16" width="9" hidden="1" customWidth="1"/>
    <col min="17" max="17" width="9.140625" hidden="1" customWidth="1"/>
    <col min="18" max="23" width="9" hidden="1" customWidth="1"/>
    <col min="24" max="24" width="0" hidden="1" customWidth="1"/>
    <col min="25" max="25" width="9" hidden="1" customWidth="1"/>
    <col min="26" max="37" width="0" hidden="1" customWidth="1"/>
  </cols>
  <sheetData>
    <row r="1" spans="1:9" x14ac:dyDescent="0.2">
      <c r="F1" s="4" t="s">
        <v>536</v>
      </c>
    </row>
    <row r="2" spans="1:9" x14ac:dyDescent="0.2">
      <c r="F2" s="4" t="s">
        <v>531</v>
      </c>
    </row>
    <row r="3" spans="1:9" x14ac:dyDescent="0.2">
      <c r="F3" s="4" t="s">
        <v>532</v>
      </c>
    </row>
    <row r="4" spans="1:9" x14ac:dyDescent="0.2">
      <c r="F4" s="44" t="s">
        <v>580</v>
      </c>
    </row>
    <row r="6" spans="1:9" x14ac:dyDescent="0.2">
      <c r="F6" s="4" t="s">
        <v>564</v>
      </c>
    </row>
    <row r="7" spans="1:9" x14ac:dyDescent="0.2">
      <c r="F7" s="4" t="s">
        <v>531</v>
      </c>
    </row>
    <row r="8" spans="1:9" x14ac:dyDescent="0.2">
      <c r="F8" s="4" t="s">
        <v>532</v>
      </c>
    </row>
    <row r="9" spans="1:9" x14ac:dyDescent="0.2">
      <c r="F9" s="44" t="s">
        <v>540</v>
      </c>
    </row>
    <row r="11" spans="1:9" ht="14.25" x14ac:dyDescent="0.2">
      <c r="A11" s="391" t="s">
        <v>297</v>
      </c>
      <c r="B11" s="391"/>
      <c r="C11" s="391"/>
      <c r="D11" s="391"/>
      <c r="E11" s="391"/>
      <c r="F11" s="391"/>
      <c r="G11" s="391"/>
      <c r="H11" s="391"/>
      <c r="I11" s="391"/>
    </row>
    <row r="12" spans="1:9" ht="14.25" x14ac:dyDescent="0.2">
      <c r="A12" s="540" t="s">
        <v>298</v>
      </c>
      <c r="B12" s="540"/>
      <c r="C12" s="540"/>
      <c r="D12" s="540"/>
      <c r="E12" s="540"/>
      <c r="F12" s="540"/>
      <c r="G12" s="540"/>
      <c r="H12" s="540"/>
      <c r="I12" s="540"/>
    </row>
    <row r="13" spans="1:9" ht="14.25" x14ac:dyDescent="0.2">
      <c r="A13" s="541" t="s">
        <v>299</v>
      </c>
      <c r="B13" s="541"/>
      <c r="C13" s="541"/>
      <c r="D13" s="541"/>
      <c r="E13" s="541"/>
      <c r="F13" s="541"/>
      <c r="G13" s="541"/>
      <c r="H13" s="541"/>
      <c r="I13" s="541"/>
    </row>
    <row r="14" spans="1:9" ht="14.25" x14ac:dyDescent="0.2">
      <c r="A14" s="391" t="s">
        <v>300</v>
      </c>
      <c r="B14" s="391"/>
      <c r="C14" s="391"/>
      <c r="D14" s="391"/>
      <c r="E14" s="391"/>
      <c r="F14" s="391"/>
      <c r="G14" s="391"/>
      <c r="H14" s="391"/>
      <c r="I14" s="391"/>
    </row>
    <row r="15" spans="1:9" x14ac:dyDescent="0.2">
      <c r="A15" s="44"/>
      <c r="B15" s="44"/>
      <c r="C15" s="44"/>
      <c r="D15" s="44"/>
      <c r="E15" s="44"/>
      <c r="F15" s="44"/>
      <c r="G15" s="44"/>
      <c r="H15" s="44"/>
      <c r="I15" s="44"/>
    </row>
    <row r="16" spans="1:9" x14ac:dyDescent="0.2">
      <c r="A16" s="147" t="s">
        <v>565</v>
      </c>
      <c r="B16" s="44"/>
      <c r="C16" s="44"/>
      <c r="D16" s="44"/>
      <c r="E16" s="44"/>
      <c r="F16" s="44"/>
      <c r="G16" s="44"/>
      <c r="H16" s="44"/>
      <c r="I16" s="44"/>
    </row>
    <row r="17" spans="1:37" ht="24" customHeight="1" x14ac:dyDescent="0.2">
      <c r="A17" s="542" t="s">
        <v>0</v>
      </c>
      <c r="B17" s="545" t="s">
        <v>302</v>
      </c>
      <c r="C17" s="546" t="s">
        <v>303</v>
      </c>
      <c r="D17" s="546"/>
      <c r="E17" s="546"/>
      <c r="F17" s="546"/>
      <c r="G17" s="546"/>
      <c r="H17" s="546"/>
      <c r="I17" s="546"/>
      <c r="J17" s="551" t="s">
        <v>322</v>
      </c>
      <c r="K17" s="551"/>
      <c r="L17" s="551"/>
      <c r="M17" s="551"/>
      <c r="N17" s="551"/>
      <c r="O17" s="551"/>
      <c r="P17" s="551"/>
      <c r="Q17" s="556" t="s">
        <v>323</v>
      </c>
      <c r="R17" s="556"/>
      <c r="S17" s="556"/>
      <c r="T17" s="556"/>
      <c r="U17" s="556"/>
      <c r="V17" s="556"/>
      <c r="W17" s="556"/>
      <c r="X17" s="551" t="s">
        <v>301</v>
      </c>
      <c r="Y17" s="551"/>
      <c r="Z17" s="551"/>
      <c r="AA17" s="551"/>
      <c r="AB17" s="551"/>
      <c r="AC17" s="551"/>
      <c r="AD17" s="551"/>
      <c r="AE17" s="556" t="s">
        <v>324</v>
      </c>
      <c r="AF17" s="556"/>
      <c r="AG17" s="556"/>
      <c r="AH17" s="556"/>
      <c r="AI17" s="556"/>
      <c r="AJ17" s="556"/>
      <c r="AK17" s="556"/>
    </row>
    <row r="18" spans="1:37" ht="12.75" customHeight="1" x14ac:dyDescent="0.2">
      <c r="A18" s="543"/>
      <c r="B18" s="545"/>
      <c r="C18" s="547" t="s">
        <v>4</v>
      </c>
      <c r="D18" s="546" t="s">
        <v>304</v>
      </c>
      <c r="E18" s="546"/>
      <c r="F18" s="546"/>
      <c r="G18" s="546"/>
      <c r="H18" s="546"/>
      <c r="I18" s="546"/>
      <c r="J18" s="547" t="s">
        <v>4</v>
      </c>
      <c r="K18" s="546" t="s">
        <v>304</v>
      </c>
      <c r="L18" s="546"/>
      <c r="M18" s="546"/>
      <c r="N18" s="546"/>
      <c r="O18" s="546"/>
      <c r="P18" s="546"/>
      <c r="Q18" s="547" t="s">
        <v>4</v>
      </c>
      <c r="R18" s="546" t="s">
        <v>304</v>
      </c>
      <c r="S18" s="546"/>
      <c r="T18" s="546"/>
      <c r="U18" s="546"/>
      <c r="V18" s="546"/>
      <c r="W18" s="546"/>
      <c r="X18" s="547" t="s">
        <v>4</v>
      </c>
      <c r="Y18" s="546" t="s">
        <v>304</v>
      </c>
      <c r="Z18" s="546"/>
      <c r="AA18" s="546"/>
      <c r="AB18" s="546"/>
      <c r="AC18" s="546"/>
      <c r="AD18" s="546"/>
      <c r="AE18" s="547" t="s">
        <v>4</v>
      </c>
      <c r="AF18" s="546" t="s">
        <v>304</v>
      </c>
      <c r="AG18" s="546"/>
      <c r="AH18" s="546"/>
      <c r="AI18" s="546"/>
      <c r="AJ18" s="546"/>
      <c r="AK18" s="546"/>
    </row>
    <row r="19" spans="1:37" ht="13.15" customHeight="1" x14ac:dyDescent="0.2">
      <c r="A19" s="543"/>
      <c r="B19" s="545"/>
      <c r="C19" s="548"/>
      <c r="D19" s="554" t="s">
        <v>106</v>
      </c>
      <c r="E19" s="545">
        <v>2019</v>
      </c>
      <c r="F19" s="552">
        <v>2020</v>
      </c>
      <c r="G19" s="552">
        <v>2021</v>
      </c>
      <c r="H19" s="553" t="s">
        <v>143</v>
      </c>
      <c r="I19" s="545">
        <v>2023</v>
      </c>
      <c r="J19" s="548"/>
      <c r="K19" s="552" t="s">
        <v>106</v>
      </c>
      <c r="L19" s="545">
        <v>2019</v>
      </c>
      <c r="M19" s="552">
        <v>2020</v>
      </c>
      <c r="N19" s="552">
        <v>2021</v>
      </c>
      <c r="O19" s="553" t="s">
        <v>143</v>
      </c>
      <c r="P19" s="545">
        <v>2023</v>
      </c>
      <c r="Q19" s="548"/>
      <c r="R19" s="554" t="s">
        <v>106</v>
      </c>
      <c r="S19" s="545">
        <v>2019</v>
      </c>
      <c r="T19" s="552">
        <v>2020</v>
      </c>
      <c r="U19" s="552">
        <v>2021</v>
      </c>
      <c r="V19" s="553" t="s">
        <v>143</v>
      </c>
      <c r="W19" s="545">
        <v>2023</v>
      </c>
      <c r="X19" s="548"/>
      <c r="Y19" s="554" t="s">
        <v>106</v>
      </c>
      <c r="Z19" s="545">
        <v>2019</v>
      </c>
      <c r="AA19" s="552">
        <v>2020</v>
      </c>
      <c r="AB19" s="552">
        <v>2021</v>
      </c>
      <c r="AC19" s="553" t="s">
        <v>143</v>
      </c>
      <c r="AD19" s="545">
        <v>2023</v>
      </c>
      <c r="AE19" s="548"/>
      <c r="AF19" s="554" t="s">
        <v>106</v>
      </c>
      <c r="AG19" s="545">
        <v>2019</v>
      </c>
      <c r="AH19" s="552">
        <v>2020</v>
      </c>
      <c r="AI19" s="552">
        <v>2021</v>
      </c>
      <c r="AJ19" s="553" t="s">
        <v>143</v>
      </c>
      <c r="AK19" s="545">
        <v>2023</v>
      </c>
    </row>
    <row r="20" spans="1:37" x14ac:dyDescent="0.2">
      <c r="A20" s="544"/>
      <c r="B20" s="545"/>
      <c r="C20" s="549"/>
      <c r="D20" s="555"/>
      <c r="E20" s="545"/>
      <c r="F20" s="552"/>
      <c r="G20" s="552"/>
      <c r="H20" s="553"/>
      <c r="I20" s="545"/>
      <c r="J20" s="549"/>
      <c r="K20" s="552"/>
      <c r="L20" s="545"/>
      <c r="M20" s="552"/>
      <c r="N20" s="552"/>
      <c r="O20" s="553"/>
      <c r="P20" s="545"/>
      <c r="Q20" s="549"/>
      <c r="R20" s="555"/>
      <c r="S20" s="545"/>
      <c r="T20" s="552"/>
      <c r="U20" s="552"/>
      <c r="V20" s="553"/>
      <c r="W20" s="545"/>
      <c r="X20" s="549"/>
      <c r="Y20" s="555"/>
      <c r="Z20" s="545"/>
      <c r="AA20" s="552"/>
      <c r="AB20" s="552"/>
      <c r="AC20" s="553"/>
      <c r="AD20" s="545"/>
      <c r="AE20" s="549"/>
      <c r="AF20" s="555"/>
      <c r="AG20" s="545"/>
      <c r="AH20" s="552"/>
      <c r="AI20" s="552"/>
      <c r="AJ20" s="553"/>
      <c r="AK20" s="545"/>
    </row>
    <row r="21" spans="1:37" x14ac:dyDescent="0.2">
      <c r="A21" s="148">
        <v>1</v>
      </c>
      <c r="B21" s="148">
        <v>2</v>
      </c>
      <c r="C21" s="148">
        <v>3</v>
      </c>
      <c r="D21" s="148">
        <v>4</v>
      </c>
      <c r="E21" s="149">
        <v>5</v>
      </c>
      <c r="F21" s="149">
        <v>6</v>
      </c>
      <c r="G21" s="149">
        <v>7</v>
      </c>
      <c r="H21" s="149">
        <v>8</v>
      </c>
      <c r="I21" s="149">
        <v>9</v>
      </c>
      <c r="J21" s="148">
        <v>3</v>
      </c>
      <c r="K21" s="149">
        <v>4</v>
      </c>
      <c r="L21" s="149">
        <v>5</v>
      </c>
      <c r="M21" s="149">
        <v>6</v>
      </c>
      <c r="N21" s="149">
        <v>7</v>
      </c>
      <c r="O21" s="149">
        <v>8</v>
      </c>
      <c r="P21" s="149">
        <v>9</v>
      </c>
      <c r="Q21" s="148">
        <v>3</v>
      </c>
      <c r="R21" s="148">
        <v>4</v>
      </c>
      <c r="S21" s="149">
        <v>5</v>
      </c>
      <c r="T21" s="149">
        <v>6</v>
      </c>
      <c r="U21" s="149">
        <v>7</v>
      </c>
      <c r="V21" s="149">
        <v>8</v>
      </c>
      <c r="W21" s="149">
        <v>9</v>
      </c>
      <c r="X21" s="148">
        <v>3</v>
      </c>
      <c r="Y21" s="148">
        <v>4</v>
      </c>
      <c r="Z21" s="149">
        <v>5</v>
      </c>
      <c r="AA21" s="149">
        <v>6</v>
      </c>
      <c r="AB21" s="149">
        <v>7</v>
      </c>
      <c r="AC21" s="149">
        <v>8</v>
      </c>
      <c r="AD21" s="149">
        <v>9</v>
      </c>
      <c r="AE21" s="148">
        <v>3</v>
      </c>
      <c r="AF21" s="148">
        <v>4</v>
      </c>
      <c r="AG21" s="149">
        <v>5</v>
      </c>
      <c r="AH21" s="149">
        <v>6</v>
      </c>
      <c r="AI21" s="149">
        <v>7</v>
      </c>
      <c r="AJ21" s="149">
        <v>8</v>
      </c>
      <c r="AK21" s="149">
        <v>9</v>
      </c>
    </row>
    <row r="22" spans="1:37" ht="15.6" customHeight="1" x14ac:dyDescent="0.2">
      <c r="A22" s="150" t="s">
        <v>90</v>
      </c>
      <c r="B22" s="151" t="s">
        <v>122</v>
      </c>
      <c r="C22" s="152">
        <v>179067.05</v>
      </c>
      <c r="D22" s="152">
        <f>D23+D24+D25+D26</f>
        <v>37245.640550205106</v>
      </c>
      <c r="E22" s="152">
        <f t="shared" ref="E22:I22" si="0">E23+E24+E25+E26</f>
        <v>41087.558850717942</v>
      </c>
      <c r="F22" s="152">
        <f t="shared" si="0"/>
        <v>39694.164250599075</v>
      </c>
      <c r="G22" s="152">
        <f t="shared" si="0"/>
        <v>40544.555672712231</v>
      </c>
      <c r="H22" s="152">
        <v>17763.099999999999</v>
      </c>
      <c r="I22" s="164">
        <f t="shared" si="0"/>
        <v>2732.0423728813562</v>
      </c>
      <c r="J22" s="152">
        <f>SUM(K22:P22)</f>
        <v>3422</v>
      </c>
      <c r="K22" s="164">
        <v>3422</v>
      </c>
      <c r="L22" s="152"/>
      <c r="M22" s="152"/>
      <c r="N22" s="152"/>
      <c r="O22" s="152"/>
      <c r="P22" s="164"/>
      <c r="Q22" s="152">
        <f>SUM(R22:W22)</f>
        <v>18806.872881355932</v>
      </c>
      <c r="R22" s="152">
        <v>861.11864406779671</v>
      </c>
      <c r="S22" s="152">
        <v>5712.8728813559319</v>
      </c>
      <c r="T22" s="152">
        <v>4373.8728813559328</v>
      </c>
      <c r="U22" s="152">
        <v>5126.9661016949158</v>
      </c>
      <c r="V22" s="152">
        <v>0</v>
      </c>
      <c r="W22" s="164">
        <v>2732.0423728813562</v>
      </c>
      <c r="X22" s="152">
        <f>SUM(Y22:AD22)</f>
        <v>144316.35810673182</v>
      </c>
      <c r="Y22" s="152">
        <v>32962.521906137306</v>
      </c>
      <c r="Z22" s="152">
        <v>32356.313793880876</v>
      </c>
      <c r="AA22" s="152">
        <v>31363.734696528416</v>
      </c>
      <c r="AB22" s="152">
        <v>31398.270165469607</v>
      </c>
      <c r="AC22" s="152">
        <v>16235.517544715618</v>
      </c>
      <c r="AD22" s="164">
        <v>0</v>
      </c>
      <c r="AE22" s="152">
        <f>SUM(AF22:AK22)</f>
        <v>11961.610174410234</v>
      </c>
      <c r="AF22" s="152">
        <v>0</v>
      </c>
      <c r="AG22" s="152">
        <v>3018.3721754811368</v>
      </c>
      <c r="AH22" s="152">
        <v>3956.5566727147243</v>
      </c>
      <c r="AI22" s="152">
        <v>4019.3194055477088</v>
      </c>
      <c r="AJ22" s="152">
        <v>967.36192066666376</v>
      </c>
      <c r="AK22" s="164">
        <v>0</v>
      </c>
    </row>
    <row r="23" spans="1:37" ht="16.149999999999999" customHeight="1" x14ac:dyDescent="0.2">
      <c r="A23" s="153" t="s">
        <v>305</v>
      </c>
      <c r="B23" s="154" t="s">
        <v>306</v>
      </c>
      <c r="C23" s="155">
        <v>78390.63</v>
      </c>
      <c r="D23" s="155">
        <f>K23+R23+Y23+AF23</f>
        <v>16171.107448472527</v>
      </c>
      <c r="E23" s="155">
        <f>L23+S23+Z23+AG23</f>
        <v>15420.969845137215</v>
      </c>
      <c r="F23" s="155">
        <f t="shared" ref="F23:H23" si="1">M23+T23+AA23+AH23</f>
        <v>14529.914174762176</v>
      </c>
      <c r="G23" s="155">
        <f t="shared" si="1"/>
        <v>15266.754070044826</v>
      </c>
      <c r="H23" s="606">
        <f t="shared" si="1"/>
        <v>13705.816212072048</v>
      </c>
      <c r="I23" s="607">
        <f>P23+W23+AD23+AK23</f>
        <v>2138.6117910705607</v>
      </c>
      <c r="J23" s="155">
        <f t="shared" ref="J23:J34" si="2">SUM(K23:P23)</f>
        <v>613.15452000000005</v>
      </c>
      <c r="K23" s="165">
        <v>613.15452000000005</v>
      </c>
      <c r="L23" s="155"/>
      <c r="M23" s="155"/>
      <c r="N23" s="155"/>
      <c r="O23" s="155"/>
      <c r="P23" s="165"/>
      <c r="Q23" s="155">
        <f t="shared" ref="Q23:Q34" si="3">SUM(R23:W23)</f>
        <v>7042.7885156706043</v>
      </c>
      <c r="R23" s="155">
        <v>595.43102233521643</v>
      </c>
      <c r="S23" s="155">
        <v>882.18510561469407</v>
      </c>
      <c r="T23" s="155">
        <v>1637.5669483909801</v>
      </c>
      <c r="U23" s="155">
        <v>1788.9936482591531</v>
      </c>
      <c r="V23" s="155">
        <v>0</v>
      </c>
      <c r="W23" s="165">
        <v>2138.6117910705607</v>
      </c>
      <c r="X23" s="155">
        <f t="shared" ref="X23:X34" si="4">SUM(Y23:AD23)</f>
        <v>66619.294853421598</v>
      </c>
      <c r="Y23" s="155">
        <v>14962.52190613731</v>
      </c>
      <c r="Z23" s="155">
        <v>14156.313793880876</v>
      </c>
      <c r="AA23" s="155">
        <v>12463.734696528416</v>
      </c>
      <c r="AB23" s="155">
        <v>12298.270165469607</v>
      </c>
      <c r="AC23" s="155">
        <v>12738.454291405384</v>
      </c>
      <c r="AD23" s="165"/>
      <c r="AE23" s="155">
        <f t="shared" ref="AE23:AE34" si="5">SUM(AF23:AK23)</f>
        <v>2957.9356524671557</v>
      </c>
      <c r="AF23" s="155"/>
      <c r="AG23" s="155">
        <v>382.47094564164655</v>
      </c>
      <c r="AH23" s="155">
        <v>428.61252984277934</v>
      </c>
      <c r="AI23" s="155">
        <v>1179.4902563160661</v>
      </c>
      <c r="AJ23" s="155">
        <v>967.36192066666376</v>
      </c>
      <c r="AK23" s="165"/>
    </row>
    <row r="24" spans="1:37" ht="16.149999999999999" customHeight="1" x14ac:dyDescent="0.2">
      <c r="A24" s="156" t="s">
        <v>307</v>
      </c>
      <c r="B24" s="154" t="s">
        <v>308</v>
      </c>
      <c r="C24" s="155">
        <v>100676.42</v>
      </c>
      <c r="D24" s="155">
        <f>K24+R24+Y24+AF24</f>
        <v>21074.533101732581</v>
      </c>
      <c r="E24" s="155">
        <f>L24+S24+Z24+AG24</f>
        <v>25666.589005580725</v>
      </c>
      <c r="F24" s="155">
        <f t="shared" ref="F24" si="6">M24+T24+AA24+AH24</f>
        <v>25164.250075836895</v>
      </c>
      <c r="G24" s="155">
        <f t="shared" ref="G24" si="7">N24+U24+AB24+AI24</f>
        <v>25277.801602667405</v>
      </c>
      <c r="H24" s="606">
        <f t="shared" ref="H24" si="8">O24+V24+AC24+AJ24</f>
        <v>3497.0632533102344</v>
      </c>
      <c r="I24" s="607">
        <f>P24+W24+AD24+AK24</f>
        <v>593.4305818107955</v>
      </c>
      <c r="J24" s="155">
        <f t="shared" si="2"/>
        <v>2808.84548</v>
      </c>
      <c r="K24" s="165">
        <v>2808.84548</v>
      </c>
      <c r="L24" s="157"/>
      <c r="M24" s="157"/>
      <c r="N24" s="157"/>
      <c r="O24" s="157"/>
      <c r="P24" s="157"/>
      <c r="Q24" s="155">
        <f t="shared" si="3"/>
        <v>11764.084365685329</v>
      </c>
      <c r="R24" s="155">
        <v>265.68762173258028</v>
      </c>
      <c r="S24" s="157">
        <v>4830.6877757412376</v>
      </c>
      <c r="T24" s="157">
        <v>2736.3059329649527</v>
      </c>
      <c r="U24" s="157">
        <v>3337.9724534357629</v>
      </c>
      <c r="V24" s="157">
        <v>0</v>
      </c>
      <c r="W24" s="157">
        <v>593.4305818107955</v>
      </c>
      <c r="X24" s="155">
        <f t="shared" si="4"/>
        <v>77697.063253310233</v>
      </c>
      <c r="Y24" s="155">
        <v>18000</v>
      </c>
      <c r="Z24" s="157">
        <v>18200</v>
      </c>
      <c r="AA24" s="157">
        <v>18900</v>
      </c>
      <c r="AB24" s="157">
        <v>19100</v>
      </c>
      <c r="AC24" s="157">
        <v>3497.0632533102344</v>
      </c>
      <c r="AD24" s="157"/>
      <c r="AE24" s="155">
        <f t="shared" si="5"/>
        <v>9003.6745219430777</v>
      </c>
      <c r="AF24" s="155"/>
      <c r="AG24" s="157">
        <v>2635.90122983949</v>
      </c>
      <c r="AH24" s="157">
        <v>3527.9441428719451</v>
      </c>
      <c r="AI24" s="157">
        <v>2839.8291492316425</v>
      </c>
      <c r="AJ24" s="157"/>
      <c r="AK24" s="157"/>
    </row>
    <row r="25" spans="1:37" ht="27.6" customHeight="1" x14ac:dyDescent="0.2">
      <c r="A25" s="156" t="s">
        <v>309</v>
      </c>
      <c r="B25" s="154" t="s">
        <v>310</v>
      </c>
      <c r="C25" s="155">
        <f t="shared" ref="C23:C34" si="9">SUM(D25:I25)</f>
        <v>0</v>
      </c>
      <c r="D25" s="155"/>
      <c r="E25" s="157"/>
      <c r="F25" s="157"/>
      <c r="G25" s="157"/>
      <c r="H25" s="157"/>
      <c r="I25" s="157"/>
      <c r="J25" s="155">
        <f t="shared" si="2"/>
        <v>0</v>
      </c>
      <c r="K25" s="165"/>
      <c r="L25" s="157"/>
      <c r="M25" s="157"/>
      <c r="N25" s="157"/>
      <c r="O25" s="157"/>
      <c r="P25" s="157"/>
      <c r="Q25" s="155">
        <f t="shared" si="3"/>
        <v>0</v>
      </c>
      <c r="R25" s="155"/>
      <c r="S25" s="157"/>
      <c r="T25" s="157"/>
      <c r="U25" s="157"/>
      <c r="V25" s="157"/>
      <c r="W25" s="157"/>
      <c r="X25" s="155">
        <f t="shared" si="4"/>
        <v>0</v>
      </c>
      <c r="Y25" s="155"/>
      <c r="Z25" s="157"/>
      <c r="AA25" s="157"/>
      <c r="AB25" s="157"/>
      <c r="AC25" s="157"/>
      <c r="AD25" s="157"/>
      <c r="AE25" s="155">
        <f t="shared" si="5"/>
        <v>0</v>
      </c>
      <c r="AF25" s="155"/>
      <c r="AG25" s="157"/>
      <c r="AH25" s="157"/>
      <c r="AI25" s="157"/>
      <c r="AJ25" s="157"/>
      <c r="AK25" s="157"/>
    </row>
    <row r="26" spans="1:37" ht="28.15" customHeight="1" x14ac:dyDescent="0.2">
      <c r="A26" s="158" t="s">
        <v>311</v>
      </c>
      <c r="B26" s="154" t="s">
        <v>312</v>
      </c>
      <c r="C26" s="155">
        <f t="shared" si="9"/>
        <v>0</v>
      </c>
      <c r="D26" s="155"/>
      <c r="E26" s="157"/>
      <c r="F26" s="157"/>
      <c r="G26" s="157"/>
      <c r="H26" s="157"/>
      <c r="I26" s="157"/>
      <c r="J26" s="155">
        <f t="shared" si="2"/>
        <v>0</v>
      </c>
      <c r="K26" s="165"/>
      <c r="L26" s="157"/>
      <c r="M26" s="157"/>
      <c r="N26" s="157"/>
      <c r="O26" s="157"/>
      <c r="P26" s="157"/>
      <c r="Q26" s="155">
        <f t="shared" si="3"/>
        <v>0</v>
      </c>
      <c r="R26" s="155"/>
      <c r="S26" s="157"/>
      <c r="T26" s="157"/>
      <c r="U26" s="157"/>
      <c r="V26" s="157"/>
      <c r="W26" s="157"/>
      <c r="X26" s="155">
        <f t="shared" si="4"/>
        <v>0</v>
      </c>
      <c r="Y26" s="155"/>
      <c r="Z26" s="157"/>
      <c r="AA26" s="157"/>
      <c r="AB26" s="157"/>
      <c r="AC26" s="157"/>
      <c r="AD26" s="157"/>
      <c r="AE26" s="155">
        <f t="shared" si="5"/>
        <v>0</v>
      </c>
      <c r="AF26" s="155"/>
      <c r="AG26" s="157"/>
      <c r="AH26" s="157"/>
      <c r="AI26" s="157"/>
      <c r="AJ26" s="157"/>
      <c r="AK26" s="157"/>
    </row>
    <row r="27" spans="1:37" ht="16.149999999999999" customHeight="1" x14ac:dyDescent="0.2">
      <c r="A27" s="150" t="s">
        <v>59</v>
      </c>
      <c r="B27" s="151" t="s">
        <v>313</v>
      </c>
      <c r="C27" s="152">
        <f t="shared" si="9"/>
        <v>-130277.82</v>
      </c>
      <c r="D27" s="152">
        <v>-31313.82</v>
      </c>
      <c r="E27" s="152">
        <f t="shared" ref="E27:I27" si="10">E28+E29+E30</f>
        <v>-27508</v>
      </c>
      <c r="F27" s="152">
        <f t="shared" si="10"/>
        <v>-31363.73</v>
      </c>
      <c r="G27" s="152">
        <f t="shared" si="10"/>
        <v>-27699.98</v>
      </c>
      <c r="H27" s="152">
        <f t="shared" si="10"/>
        <v>-12392.29</v>
      </c>
      <c r="I27" s="164">
        <f t="shared" si="10"/>
        <v>0</v>
      </c>
      <c r="J27" s="152">
        <f t="shared" si="2"/>
        <v>0</v>
      </c>
      <c r="K27" s="164">
        <v>0</v>
      </c>
      <c r="L27" s="152"/>
      <c r="M27" s="152"/>
      <c r="N27" s="152"/>
      <c r="O27" s="152"/>
      <c r="P27" s="152"/>
      <c r="Q27" s="152">
        <f t="shared" si="3"/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f t="shared" si="4"/>
        <v>-130277.82159042792</v>
      </c>
      <c r="Y27" s="152">
        <v>-31637.193302514155</v>
      </c>
      <c r="Z27" s="152">
        <v>-28664.016880148047</v>
      </c>
      <c r="AA27" s="152">
        <v>-30289.031222569352</v>
      </c>
      <c r="AB27" s="152">
        <v>-28284.436383150467</v>
      </c>
      <c r="AC27" s="152">
        <v>-11403.143802045901</v>
      </c>
      <c r="AD27" s="152">
        <v>0</v>
      </c>
      <c r="AE27" s="152">
        <f t="shared" si="5"/>
        <v>0</v>
      </c>
      <c r="AF27" s="152">
        <v>0</v>
      </c>
      <c r="AG27" s="152">
        <v>0</v>
      </c>
      <c r="AH27" s="152">
        <v>0</v>
      </c>
      <c r="AI27" s="152">
        <v>0</v>
      </c>
      <c r="AJ27" s="152">
        <v>0</v>
      </c>
      <c r="AK27" s="164">
        <v>0</v>
      </c>
    </row>
    <row r="28" spans="1:37" ht="16.149999999999999" customHeight="1" x14ac:dyDescent="0.2">
      <c r="A28" s="153" t="s">
        <v>314</v>
      </c>
      <c r="B28" s="154" t="s">
        <v>315</v>
      </c>
      <c r="C28" s="155">
        <f t="shared" si="9"/>
        <v>-130277.82</v>
      </c>
      <c r="D28" s="155">
        <v>-31313.82</v>
      </c>
      <c r="E28" s="155">
        <v>-27508</v>
      </c>
      <c r="F28" s="155">
        <v>-31363.73</v>
      </c>
      <c r="G28" s="155">
        <v>-27699.98</v>
      </c>
      <c r="H28" s="155">
        <v>-12392.29</v>
      </c>
      <c r="I28" s="165">
        <f>P28+W28+AD28+AK28</f>
        <v>0</v>
      </c>
      <c r="J28" s="155">
        <f t="shared" si="2"/>
        <v>0</v>
      </c>
      <c r="K28" s="165"/>
      <c r="L28" s="157"/>
      <c r="M28" s="157"/>
      <c r="N28" s="157"/>
      <c r="O28" s="157"/>
      <c r="P28" s="157"/>
      <c r="Q28" s="155">
        <f t="shared" si="3"/>
        <v>0</v>
      </c>
      <c r="R28" s="155"/>
      <c r="S28" s="157"/>
      <c r="T28" s="157"/>
      <c r="U28" s="157"/>
      <c r="V28" s="157"/>
      <c r="W28" s="157"/>
      <c r="X28" s="155">
        <f t="shared" si="4"/>
        <v>-130277.82159042792</v>
      </c>
      <c r="Y28" s="166">
        <v>-31637.193302514155</v>
      </c>
      <c r="Z28" s="184">
        <v>-28664.016880148047</v>
      </c>
      <c r="AA28" s="184">
        <v>-30289.031222569352</v>
      </c>
      <c r="AB28" s="184">
        <v>-28284.436383150467</v>
      </c>
      <c r="AC28" s="184">
        <v>-11403.143802045901</v>
      </c>
      <c r="AD28" s="157"/>
      <c r="AE28" s="155">
        <f t="shared" si="5"/>
        <v>0</v>
      </c>
      <c r="AF28" s="155"/>
      <c r="AG28" s="157"/>
      <c r="AH28" s="157"/>
      <c r="AI28" s="157"/>
      <c r="AJ28" s="157"/>
      <c r="AK28" s="157"/>
    </row>
    <row r="29" spans="1:37" ht="17.45" customHeight="1" x14ac:dyDescent="0.2">
      <c r="A29" s="156" t="s">
        <v>316</v>
      </c>
      <c r="B29" s="154" t="s">
        <v>317</v>
      </c>
      <c r="C29" s="155">
        <f t="shared" si="9"/>
        <v>0</v>
      </c>
      <c r="D29" s="155"/>
      <c r="E29" s="157"/>
      <c r="F29" s="157"/>
      <c r="G29" s="157"/>
      <c r="H29" s="157"/>
      <c r="I29" s="157"/>
      <c r="J29" s="155">
        <f t="shared" si="2"/>
        <v>0</v>
      </c>
      <c r="K29" s="165"/>
      <c r="L29" s="157"/>
      <c r="M29" s="157"/>
      <c r="N29" s="157"/>
      <c r="O29" s="157"/>
      <c r="P29" s="157"/>
      <c r="Q29" s="155">
        <f t="shared" si="3"/>
        <v>0</v>
      </c>
      <c r="R29" s="155"/>
      <c r="S29" s="157"/>
      <c r="T29" s="157"/>
      <c r="U29" s="157"/>
      <c r="V29" s="157"/>
      <c r="W29" s="157"/>
      <c r="X29" s="155">
        <f t="shared" si="4"/>
        <v>0</v>
      </c>
      <c r="Y29" s="155"/>
      <c r="Z29" s="157"/>
      <c r="AA29" s="157"/>
      <c r="AB29" s="157"/>
      <c r="AC29" s="157"/>
      <c r="AD29" s="157"/>
      <c r="AE29" s="155">
        <f t="shared" si="5"/>
        <v>0</v>
      </c>
      <c r="AF29" s="155"/>
      <c r="AG29" s="157"/>
      <c r="AH29" s="157"/>
      <c r="AI29" s="157"/>
      <c r="AJ29" s="157"/>
      <c r="AK29" s="157"/>
    </row>
    <row r="30" spans="1:37" ht="16.149999999999999" customHeight="1" x14ac:dyDescent="0.2">
      <c r="A30" s="158" t="s">
        <v>318</v>
      </c>
      <c r="B30" s="154" t="s">
        <v>319</v>
      </c>
      <c r="C30" s="155">
        <f t="shared" si="9"/>
        <v>0</v>
      </c>
      <c r="D30" s="155"/>
      <c r="E30" s="157"/>
      <c r="F30" s="157"/>
      <c r="G30" s="157"/>
      <c r="H30" s="157"/>
      <c r="I30" s="157"/>
      <c r="J30" s="155">
        <f t="shared" si="2"/>
        <v>0</v>
      </c>
      <c r="K30" s="165"/>
      <c r="L30" s="157"/>
      <c r="M30" s="157"/>
      <c r="N30" s="157"/>
      <c r="O30" s="157"/>
      <c r="P30" s="157"/>
      <c r="Q30" s="155">
        <f t="shared" si="3"/>
        <v>0</v>
      </c>
      <c r="R30" s="155"/>
      <c r="S30" s="157"/>
      <c r="T30" s="157"/>
      <c r="U30" s="157"/>
      <c r="V30" s="157"/>
      <c r="W30" s="157"/>
      <c r="X30" s="155">
        <f t="shared" si="4"/>
        <v>0</v>
      </c>
      <c r="Y30" s="155"/>
      <c r="Z30" s="157"/>
      <c r="AA30" s="157"/>
      <c r="AB30" s="157"/>
      <c r="AC30" s="157"/>
      <c r="AD30" s="157"/>
      <c r="AE30" s="155">
        <f t="shared" si="5"/>
        <v>0</v>
      </c>
      <c r="AF30" s="155"/>
      <c r="AG30" s="157"/>
      <c r="AH30" s="157"/>
      <c r="AI30" s="157"/>
      <c r="AJ30" s="157"/>
      <c r="AK30" s="157"/>
    </row>
    <row r="31" spans="1:37" ht="16.149999999999999" customHeight="1" x14ac:dyDescent="0.2">
      <c r="A31" s="150" t="s">
        <v>62</v>
      </c>
      <c r="B31" s="151" t="s">
        <v>123</v>
      </c>
      <c r="C31" s="152">
        <f t="shared" si="9"/>
        <v>0</v>
      </c>
      <c r="D31" s="152"/>
      <c r="E31" s="159"/>
      <c r="F31" s="159"/>
      <c r="G31" s="159"/>
      <c r="H31" s="159"/>
      <c r="I31" s="159"/>
      <c r="J31" s="152">
        <f t="shared" si="2"/>
        <v>0</v>
      </c>
      <c r="K31" s="164"/>
      <c r="L31" s="159"/>
      <c r="M31" s="159"/>
      <c r="N31" s="159"/>
      <c r="O31" s="159"/>
      <c r="P31" s="159"/>
      <c r="Q31" s="152">
        <f t="shared" si="3"/>
        <v>0</v>
      </c>
      <c r="R31" s="152"/>
      <c r="S31" s="159"/>
      <c r="T31" s="159"/>
      <c r="U31" s="159"/>
      <c r="V31" s="159"/>
      <c r="W31" s="159"/>
      <c r="X31" s="152">
        <f t="shared" si="4"/>
        <v>0</v>
      </c>
      <c r="Y31" s="152"/>
      <c r="Z31" s="159"/>
      <c r="AA31" s="159"/>
      <c r="AB31" s="159"/>
      <c r="AC31" s="159"/>
      <c r="AD31" s="159"/>
      <c r="AE31" s="152">
        <f t="shared" si="5"/>
        <v>0</v>
      </c>
      <c r="AF31" s="152"/>
      <c r="AG31" s="159"/>
      <c r="AH31" s="159"/>
      <c r="AI31" s="159"/>
      <c r="AJ31" s="159"/>
      <c r="AK31" s="159"/>
    </row>
    <row r="32" spans="1:37" ht="25.9" customHeight="1" x14ac:dyDescent="0.2">
      <c r="A32" s="150" t="s">
        <v>64</v>
      </c>
      <c r="B32" s="151" t="s">
        <v>320</v>
      </c>
      <c r="C32" s="152">
        <f t="shared" si="9"/>
        <v>0</v>
      </c>
      <c r="D32" s="152"/>
      <c r="E32" s="159"/>
      <c r="F32" s="159"/>
      <c r="G32" s="159"/>
      <c r="H32" s="159"/>
      <c r="I32" s="159"/>
      <c r="J32" s="152">
        <f t="shared" si="2"/>
        <v>0</v>
      </c>
      <c r="K32" s="164"/>
      <c r="L32" s="159"/>
      <c r="M32" s="159"/>
      <c r="N32" s="159"/>
      <c r="O32" s="159"/>
      <c r="P32" s="159"/>
      <c r="Q32" s="152">
        <f t="shared" si="3"/>
        <v>0</v>
      </c>
      <c r="R32" s="152"/>
      <c r="S32" s="159"/>
      <c r="T32" s="159"/>
      <c r="U32" s="159"/>
      <c r="V32" s="159"/>
      <c r="W32" s="159"/>
      <c r="X32" s="152">
        <f t="shared" si="4"/>
        <v>0</v>
      </c>
      <c r="Y32" s="152"/>
      <c r="Z32" s="159"/>
      <c r="AA32" s="159"/>
      <c r="AB32" s="159"/>
      <c r="AC32" s="159"/>
      <c r="AD32" s="159"/>
      <c r="AE32" s="152">
        <f t="shared" si="5"/>
        <v>0</v>
      </c>
      <c r="AF32" s="152"/>
      <c r="AG32" s="159"/>
      <c r="AH32" s="159"/>
      <c r="AI32" s="159"/>
      <c r="AJ32" s="159"/>
      <c r="AK32" s="159"/>
    </row>
    <row r="33" spans="1:37" ht="17.45" customHeight="1" x14ac:dyDescent="0.2">
      <c r="A33" s="150"/>
      <c r="B33" s="151" t="s">
        <v>29</v>
      </c>
      <c r="C33" s="152">
        <f>SUM(D33:I33)</f>
        <v>48789.241697115707</v>
      </c>
      <c r="D33" s="152">
        <f>D22+D27+D31+D32</f>
        <v>5931.820550205106</v>
      </c>
      <c r="E33" s="152">
        <f t="shared" ref="E33:I33" si="11">E22+E27+E31+E32</f>
        <v>13579.558850717942</v>
      </c>
      <c r="F33" s="152">
        <f t="shared" si="11"/>
        <v>8330.4342505990753</v>
      </c>
      <c r="G33" s="152">
        <f t="shared" si="11"/>
        <v>12844.575672712232</v>
      </c>
      <c r="H33" s="152">
        <f t="shared" si="11"/>
        <v>5370.8099999999977</v>
      </c>
      <c r="I33" s="164">
        <f t="shared" si="11"/>
        <v>2732.0423728813562</v>
      </c>
      <c r="J33" s="152">
        <f t="shared" si="2"/>
        <v>3422</v>
      </c>
      <c r="K33" s="164">
        <v>3422</v>
      </c>
      <c r="L33" s="152"/>
      <c r="M33" s="152"/>
      <c r="N33" s="152"/>
      <c r="O33" s="152"/>
      <c r="P33" s="152"/>
      <c r="Q33" s="152">
        <f t="shared" si="3"/>
        <v>18806.872881355932</v>
      </c>
      <c r="R33" s="152">
        <v>861.11864406779671</v>
      </c>
      <c r="S33" s="152">
        <v>5712.8728813559319</v>
      </c>
      <c r="T33" s="152">
        <v>4373.8728813559328</v>
      </c>
      <c r="U33" s="152">
        <v>5126.9661016949158</v>
      </c>
      <c r="V33" s="152">
        <v>0</v>
      </c>
      <c r="W33" s="152">
        <v>2732.0423728813562</v>
      </c>
      <c r="X33" s="152">
        <f t="shared" si="4"/>
        <v>14038.5365163039</v>
      </c>
      <c r="Y33" s="152">
        <v>1325.3286036231511</v>
      </c>
      <c r="Z33" s="152">
        <v>3692.2969137328291</v>
      </c>
      <c r="AA33" s="152">
        <v>1074.7034739590636</v>
      </c>
      <c r="AB33" s="152">
        <v>3113.8337823191396</v>
      </c>
      <c r="AC33" s="152">
        <v>4832.3737426697171</v>
      </c>
      <c r="AD33" s="152">
        <v>0</v>
      </c>
      <c r="AE33" s="152">
        <f t="shared" si="5"/>
        <v>11961.610174410234</v>
      </c>
      <c r="AF33" s="152">
        <v>0</v>
      </c>
      <c r="AG33" s="152">
        <v>3018.3721754811368</v>
      </c>
      <c r="AH33" s="152">
        <v>3956.5566727147243</v>
      </c>
      <c r="AI33" s="152">
        <v>4019.3194055477088</v>
      </c>
      <c r="AJ33" s="152">
        <v>967.36192066666376</v>
      </c>
      <c r="AK33" s="164">
        <v>0</v>
      </c>
    </row>
    <row r="34" spans="1:37" ht="28.9" customHeight="1" x14ac:dyDescent="0.2">
      <c r="A34" s="160"/>
      <c r="B34" s="161" t="s">
        <v>321</v>
      </c>
      <c r="C34" s="167">
        <v>39544.07</v>
      </c>
      <c r="D34" s="166">
        <v>15801.6</v>
      </c>
      <c r="E34" s="166">
        <v>12496.78</v>
      </c>
      <c r="F34" s="166">
        <v>6432.79</v>
      </c>
      <c r="G34" s="166">
        <v>3521.09</v>
      </c>
      <c r="H34" s="166">
        <v>1096.8699999999999</v>
      </c>
      <c r="I34" s="179">
        <v>194.94</v>
      </c>
      <c r="J34" s="162">
        <f t="shared" si="2"/>
        <v>0</v>
      </c>
      <c r="K34" s="167">
        <v>0</v>
      </c>
      <c r="L34" s="167"/>
      <c r="M34" s="167"/>
      <c r="N34" s="167"/>
      <c r="O34" s="167"/>
      <c r="P34" s="167"/>
      <c r="Q34" s="162">
        <f t="shared" si="3"/>
        <v>1345.7911853542898</v>
      </c>
      <c r="R34" s="167">
        <v>58.42690000000001</v>
      </c>
      <c r="S34" s="167">
        <v>414.53636256353667</v>
      </c>
      <c r="T34" s="167">
        <v>317.37612591575299</v>
      </c>
      <c r="U34" s="167">
        <v>362.35901041666671</v>
      </c>
      <c r="V34" s="167">
        <v>0</v>
      </c>
      <c r="W34" s="167">
        <v>193.09278645833336</v>
      </c>
      <c r="X34" s="162">
        <f t="shared" si="4"/>
        <v>40856.001591391716</v>
      </c>
      <c r="Y34" s="167">
        <v>15852.29792331261</v>
      </c>
      <c r="Z34" s="167">
        <v>12074.902323883522</v>
      </c>
      <c r="AA34" s="167">
        <v>7745.8848261629728</v>
      </c>
      <c r="AB34" s="167">
        <v>3989.5383865866584</v>
      </c>
      <c r="AC34" s="167">
        <v>1193.3781594861607</v>
      </c>
      <c r="AD34" s="167">
        <v>-2.8040206750574722E-5</v>
      </c>
      <c r="AE34" s="162">
        <f t="shared" si="5"/>
        <v>344.45843880171793</v>
      </c>
      <c r="AF34" s="167">
        <v>0</v>
      </c>
      <c r="AG34" s="167">
        <v>0</v>
      </c>
      <c r="AH34" s="167">
        <v>137.40273896152843</v>
      </c>
      <c r="AI34" s="167">
        <v>135.95056412515541</v>
      </c>
      <c r="AJ34" s="167">
        <v>71.105135715034137</v>
      </c>
      <c r="AK34" s="167">
        <v>0</v>
      </c>
    </row>
    <row r="35" spans="1:37" ht="15" customHeight="1" x14ac:dyDescent="0.2">
      <c r="A35" s="550"/>
      <c r="B35" s="550"/>
      <c r="C35" s="550"/>
      <c r="D35" s="550"/>
      <c r="E35" s="550"/>
      <c r="F35" s="550"/>
      <c r="G35" s="550"/>
      <c r="H35" s="550"/>
      <c r="I35" s="550"/>
    </row>
    <row r="36" spans="1:37" hidden="1" x14ac:dyDescent="0.2">
      <c r="A36" s="44"/>
      <c r="B36" s="44"/>
      <c r="C36" s="163"/>
      <c r="D36" s="44"/>
      <c r="E36" s="44"/>
      <c r="F36" s="44"/>
      <c r="G36" s="44"/>
      <c r="H36" s="44"/>
      <c r="I36" s="44"/>
      <c r="W36" t="s">
        <v>482</v>
      </c>
      <c r="AD36" t="s">
        <v>481</v>
      </c>
    </row>
    <row r="37" spans="1:37" hidden="1" x14ac:dyDescent="0.2">
      <c r="A37" s="44"/>
      <c r="B37" s="44"/>
      <c r="C37" s="228">
        <f>SUM(D37:I37)</f>
        <v>48229.019445870093</v>
      </c>
      <c r="D37" s="228">
        <f>'2 ИП ТС (2)'!M79/1.18</f>
        <v>5931.8220503265084</v>
      </c>
      <c r="E37" s="228">
        <f>'2 ИП ТС (2)'!N79/1.18</f>
        <v>10561.17788064546</v>
      </c>
      <c r="F37" s="228">
        <f>'2 ИП ТС (2)'!O79/1.18</f>
        <v>10061.161209519329</v>
      </c>
      <c r="G37" s="228">
        <f>'2 ИП ТС (2)'!P79/1.18</f>
        <v>12787.985420405103</v>
      </c>
      <c r="H37" s="228">
        <f>'2 ИП ТС (2)'!Q79/1.18</f>
        <v>6154.8305120923387</v>
      </c>
      <c r="I37" s="228">
        <f>'2 ИП ТС (2)'!R79/1.18</f>
        <v>2732.0423728813562</v>
      </c>
      <c r="W37" t="s">
        <v>479</v>
      </c>
      <c r="Y37">
        <v>20928.078799999999</v>
      </c>
      <c r="Z37">
        <v>29105</v>
      </c>
      <c r="AA37">
        <v>35948</v>
      </c>
      <c r="AB37">
        <v>37198.013200000001</v>
      </c>
      <c r="AC37">
        <v>22395.899999999994</v>
      </c>
      <c r="AD37">
        <f>SUM(Y37:AC37)</f>
        <v>145574.992</v>
      </c>
    </row>
    <row r="38" spans="1:37" hidden="1" x14ac:dyDescent="0.2">
      <c r="C38" t="b">
        <f>C33='2 ИП ТС'!K84</f>
        <v>0</v>
      </c>
      <c r="W38" t="s">
        <v>480</v>
      </c>
      <c r="Y38">
        <f>Y37/1.18</f>
        <v>17735.66</v>
      </c>
      <c r="Z38">
        <f t="shared" ref="Z38:AC38" si="12">Z37/1.18</f>
        <v>24665.254237288136</v>
      </c>
      <c r="AA38">
        <f t="shared" si="12"/>
        <v>30464.406779661018</v>
      </c>
      <c r="AB38">
        <f t="shared" si="12"/>
        <v>31523.74</v>
      </c>
      <c r="AC38">
        <f t="shared" si="12"/>
        <v>18979.576271186437</v>
      </c>
      <c r="AD38">
        <f>SUM(Y38:AC38)</f>
        <v>123368.63728813559</v>
      </c>
    </row>
    <row r="39" spans="1:37" hidden="1" x14ac:dyDescent="0.2">
      <c r="C39" s="215"/>
      <c r="W39" s="240" t="s">
        <v>508</v>
      </c>
      <c r="Y39">
        <v>1648.703406258712</v>
      </c>
      <c r="Z39">
        <v>4848.3051180437205</v>
      </c>
      <c r="AA39">
        <v>0</v>
      </c>
      <c r="AB39">
        <v>3698.3074503533135</v>
      </c>
      <c r="AC39">
        <v>3843.220335141847</v>
      </c>
      <c r="AD39">
        <f t="shared" ref="AD39:AD40" si="13">SUM(Y39:AC39)</f>
        <v>14038.536309797593</v>
      </c>
    </row>
    <row r="40" spans="1:37" x14ac:dyDescent="0.2">
      <c r="C40" s="216"/>
      <c r="W40" t="s">
        <v>509</v>
      </c>
      <c r="Y40">
        <f>Y38+Y39</f>
        <v>19384.363406258712</v>
      </c>
      <c r="Z40">
        <f t="shared" ref="Z40:AC40" si="14">Z38+Z39</f>
        <v>29513.559355331858</v>
      </c>
      <c r="AA40">
        <f t="shared" si="14"/>
        <v>30464.406779661018</v>
      </c>
      <c r="AB40">
        <f t="shared" si="14"/>
        <v>35222.047450353319</v>
      </c>
      <c r="AC40">
        <f t="shared" si="14"/>
        <v>22822.796606328284</v>
      </c>
      <c r="AD40">
        <f t="shared" si="13"/>
        <v>137407.1735979332</v>
      </c>
    </row>
    <row r="41" spans="1:37" x14ac:dyDescent="0.2">
      <c r="C41" s="216"/>
    </row>
  </sheetData>
  <mergeCells count="52">
    <mergeCell ref="AE17:AK17"/>
    <mergeCell ref="AE18:AE20"/>
    <mergeCell ref="AF18:AK18"/>
    <mergeCell ref="AF19:AF20"/>
    <mergeCell ref="AG19:AG20"/>
    <mergeCell ref="AH19:AH20"/>
    <mergeCell ref="AI19:AI20"/>
    <mergeCell ref="AJ19:AJ20"/>
    <mergeCell ref="AK19:AK20"/>
    <mergeCell ref="X17:AD17"/>
    <mergeCell ref="X18:X20"/>
    <mergeCell ref="Y18:AD18"/>
    <mergeCell ref="Y19:Y20"/>
    <mergeCell ref="Z19:Z20"/>
    <mergeCell ref="AA19:AA20"/>
    <mergeCell ref="AB19:AB20"/>
    <mergeCell ref="AC19:AC20"/>
    <mergeCell ref="AD19:AD20"/>
    <mergeCell ref="Q17:W17"/>
    <mergeCell ref="Q18:Q20"/>
    <mergeCell ref="R18:W18"/>
    <mergeCell ref="R19:R20"/>
    <mergeCell ref="S19:S20"/>
    <mergeCell ref="T19:T20"/>
    <mergeCell ref="U19:U20"/>
    <mergeCell ref="V19:V20"/>
    <mergeCell ref="W19:W20"/>
    <mergeCell ref="A35:I35"/>
    <mergeCell ref="J17:P17"/>
    <mergeCell ref="J18:J20"/>
    <mergeCell ref="K18:P18"/>
    <mergeCell ref="K19:K20"/>
    <mergeCell ref="L19:L20"/>
    <mergeCell ref="M19:M20"/>
    <mergeCell ref="N19:N20"/>
    <mergeCell ref="O19:O20"/>
    <mergeCell ref="P19:P20"/>
    <mergeCell ref="D19:D20"/>
    <mergeCell ref="E19:E20"/>
    <mergeCell ref="F19:F20"/>
    <mergeCell ref="G19:G20"/>
    <mergeCell ref="H19:H20"/>
    <mergeCell ref="I19:I20"/>
    <mergeCell ref="A11:I11"/>
    <mergeCell ref="A12:I12"/>
    <mergeCell ref="A13:I13"/>
    <mergeCell ref="A14:I14"/>
    <mergeCell ref="A17:A20"/>
    <mergeCell ref="B17:B20"/>
    <mergeCell ref="C17:I17"/>
    <mergeCell ref="C18:C20"/>
    <mergeCell ref="D18:I18"/>
  </mergeCells>
  <pageMargins left="0.51181102362204722" right="0.19685039370078741" top="0.74803149606299213" bottom="0.74803149606299213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tabSelected="1" view="pageBreakPreview" topLeftCell="A10" zoomScaleNormal="100" zoomScaleSheetLayoutView="100" workbookViewId="0">
      <selection activeCell="A34" sqref="A34:J34"/>
    </sheetView>
  </sheetViews>
  <sheetFormatPr defaultColWidth="10.28515625" defaultRowHeight="50.45" customHeight="1" outlineLevelRow="1" outlineLevelCol="1" x14ac:dyDescent="0.2"/>
  <cols>
    <col min="1" max="1" width="6" style="241" customWidth="1"/>
    <col min="2" max="2" width="31.42578125" style="241" customWidth="1"/>
    <col min="3" max="3" width="12.85546875" style="241" hidden="1" customWidth="1"/>
    <col min="4" max="4" width="10" style="241" customWidth="1"/>
    <col min="5" max="5" width="9.28515625" style="241" customWidth="1"/>
    <col min="6" max="6" width="9.140625" style="241" customWidth="1"/>
    <col min="7" max="9" width="9.140625" style="241" bestFit="1" customWidth="1"/>
    <col min="10" max="10" width="7.7109375" style="241" customWidth="1"/>
    <col min="11" max="11" width="9.7109375" style="241" customWidth="1" outlineLevel="1"/>
    <col min="12" max="12" width="9.42578125" style="241" customWidth="1"/>
    <col min="13" max="13" width="13" style="241" customWidth="1"/>
    <col min="14" max="14" width="15.140625" style="241" customWidth="1"/>
    <col min="15" max="15" width="7.85546875" style="241" customWidth="1"/>
    <col min="16" max="16384" width="10.28515625" style="241"/>
  </cols>
  <sheetData>
    <row r="1" spans="1:10" ht="15.75" customHeight="1" x14ac:dyDescent="0.2">
      <c r="G1" s="4" t="s">
        <v>537</v>
      </c>
    </row>
    <row r="2" spans="1:10" ht="15.75" customHeight="1" x14ac:dyDescent="0.2">
      <c r="G2" s="4" t="s">
        <v>531</v>
      </c>
    </row>
    <row r="3" spans="1:10" ht="15.75" customHeight="1" x14ac:dyDescent="0.2">
      <c r="G3" s="4" t="s">
        <v>532</v>
      </c>
    </row>
    <row r="4" spans="1:10" ht="15.75" customHeight="1" x14ac:dyDescent="0.2">
      <c r="G4" s="44" t="s">
        <v>580</v>
      </c>
    </row>
    <row r="5" spans="1:10" ht="15.75" customHeight="1" x14ac:dyDescent="0.2">
      <c r="G5" s="3"/>
    </row>
    <row r="6" spans="1:10" ht="15.75" customHeight="1" x14ac:dyDescent="0.2">
      <c r="G6" s="4" t="s">
        <v>568</v>
      </c>
    </row>
    <row r="7" spans="1:10" ht="15.75" customHeight="1" x14ac:dyDescent="0.2">
      <c r="G7" s="4" t="s">
        <v>531</v>
      </c>
    </row>
    <row r="8" spans="1:10" ht="15.75" customHeight="1" x14ac:dyDescent="0.2">
      <c r="G8" s="4" t="s">
        <v>532</v>
      </c>
    </row>
    <row r="9" spans="1:10" ht="15.75" customHeight="1" x14ac:dyDescent="0.2">
      <c r="G9" s="44" t="s">
        <v>540</v>
      </c>
    </row>
    <row r="10" spans="1:10" s="244" customFormat="1" ht="19.899999999999999" customHeight="1" outlineLevel="1" x14ac:dyDescent="0.2">
      <c r="A10" s="557" t="s">
        <v>297</v>
      </c>
      <c r="B10" s="557"/>
      <c r="C10" s="557"/>
      <c r="D10" s="557"/>
      <c r="E10" s="557"/>
      <c r="F10" s="557"/>
      <c r="G10" s="557"/>
      <c r="H10" s="557"/>
      <c r="I10" s="557"/>
      <c r="J10" s="557"/>
    </row>
    <row r="11" spans="1:10" s="244" customFormat="1" ht="19.899999999999999" customHeight="1" outlineLevel="1" x14ac:dyDescent="0.2">
      <c r="A11" s="558" t="s">
        <v>298</v>
      </c>
      <c r="B11" s="558"/>
      <c r="C11" s="558"/>
      <c r="D11" s="558"/>
      <c r="E11" s="558"/>
      <c r="F11" s="558"/>
      <c r="G11" s="558"/>
      <c r="H11" s="558"/>
      <c r="I11" s="558"/>
      <c r="J11" s="558"/>
    </row>
    <row r="12" spans="1:10" s="245" customFormat="1" ht="19.899999999999999" customHeight="1" outlineLevel="1" x14ac:dyDescent="0.2">
      <c r="A12" s="559" t="s">
        <v>299</v>
      </c>
      <c r="B12" s="559"/>
      <c r="C12" s="559"/>
      <c r="D12" s="559"/>
      <c r="E12" s="559"/>
      <c r="F12" s="559"/>
      <c r="G12" s="559"/>
      <c r="H12" s="559"/>
      <c r="I12" s="559"/>
      <c r="J12" s="559"/>
    </row>
    <row r="13" spans="1:10" ht="19.899999999999999" customHeight="1" outlineLevel="1" x14ac:dyDescent="0.2">
      <c r="A13" s="557" t="s">
        <v>300</v>
      </c>
      <c r="B13" s="557"/>
      <c r="C13" s="557"/>
      <c r="D13" s="557"/>
      <c r="E13" s="557"/>
      <c r="F13" s="557"/>
      <c r="G13" s="557"/>
      <c r="H13" s="557"/>
      <c r="I13" s="557"/>
      <c r="J13" s="557"/>
    </row>
    <row r="14" spans="1:10" ht="19.899999999999999" customHeight="1" outlineLevel="1" x14ac:dyDescent="0.2"/>
    <row r="15" spans="1:10" ht="19.899999999999999" customHeight="1" outlineLevel="1" x14ac:dyDescent="0.2">
      <c r="A15" s="246" t="s">
        <v>301</v>
      </c>
    </row>
    <row r="16" spans="1:10" s="247" customFormat="1" ht="12" x14ac:dyDescent="0.2">
      <c r="A16" s="568" t="s">
        <v>0</v>
      </c>
      <c r="B16" s="560" t="s">
        <v>302</v>
      </c>
      <c r="C16" s="571" t="s">
        <v>303</v>
      </c>
      <c r="D16" s="571"/>
      <c r="E16" s="571"/>
      <c r="F16" s="571"/>
      <c r="G16" s="571"/>
      <c r="H16" s="571"/>
      <c r="I16" s="571"/>
      <c r="J16" s="571"/>
    </row>
    <row r="17" spans="1:13" s="249" customFormat="1" ht="19.899999999999999" customHeight="1" x14ac:dyDescent="0.2">
      <c r="A17" s="569"/>
      <c r="B17" s="560"/>
      <c r="C17" s="248" t="s">
        <v>510</v>
      </c>
      <c r="D17" s="572" t="s">
        <v>4</v>
      </c>
      <c r="E17" s="571" t="s">
        <v>304</v>
      </c>
      <c r="F17" s="571"/>
      <c r="G17" s="571"/>
      <c r="H17" s="571"/>
      <c r="I17" s="571"/>
      <c r="J17" s="571"/>
    </row>
    <row r="18" spans="1:13" s="249" customFormat="1" ht="19.899999999999999" customHeight="1" x14ac:dyDescent="0.2">
      <c r="A18" s="569"/>
      <c r="B18" s="560"/>
      <c r="C18" s="562" t="s">
        <v>511</v>
      </c>
      <c r="D18" s="573"/>
      <c r="E18" s="564" t="s">
        <v>106</v>
      </c>
      <c r="F18" s="560">
        <v>2019</v>
      </c>
      <c r="G18" s="566">
        <v>2020</v>
      </c>
      <c r="H18" s="566">
        <v>2021</v>
      </c>
      <c r="I18" s="567" t="s">
        <v>143</v>
      </c>
      <c r="J18" s="560">
        <v>2023</v>
      </c>
    </row>
    <row r="19" spans="1:13" s="249" customFormat="1" ht="10.9" customHeight="1" x14ac:dyDescent="0.2">
      <c r="A19" s="570"/>
      <c r="B19" s="560"/>
      <c r="C19" s="563"/>
      <c r="D19" s="574"/>
      <c r="E19" s="565"/>
      <c r="F19" s="560"/>
      <c r="G19" s="566"/>
      <c r="H19" s="566"/>
      <c r="I19" s="567"/>
      <c r="J19" s="560"/>
    </row>
    <row r="20" spans="1:13" s="253" customFormat="1" ht="12" x14ac:dyDescent="0.2">
      <c r="A20" s="250">
        <v>1</v>
      </c>
      <c r="B20" s="250">
        <v>2</v>
      </c>
      <c r="C20" s="250">
        <v>3</v>
      </c>
      <c r="D20" s="251">
        <v>3</v>
      </c>
      <c r="E20" s="251">
        <v>4</v>
      </c>
      <c r="F20" s="252">
        <v>5</v>
      </c>
      <c r="G20" s="252">
        <v>6</v>
      </c>
      <c r="H20" s="252">
        <v>7</v>
      </c>
      <c r="I20" s="252">
        <v>8</v>
      </c>
      <c r="J20" s="252">
        <v>9</v>
      </c>
    </row>
    <row r="21" spans="1:13" s="247" customFormat="1" ht="12" x14ac:dyDescent="0.2">
      <c r="A21" s="254" t="s">
        <v>90</v>
      </c>
      <c r="B21" s="255" t="s">
        <v>122</v>
      </c>
      <c r="C21" s="256"/>
      <c r="D21" s="257">
        <f>SUM(E21:J21)</f>
        <v>144316.35810673182</v>
      </c>
      <c r="E21" s="257">
        <f>E22+E23+E24+E25</f>
        <v>32962.521906137306</v>
      </c>
      <c r="F21" s="257">
        <f t="shared" ref="F21:J21" si="0">F22+F23+F24+F25</f>
        <v>32356.313793880876</v>
      </c>
      <c r="G21" s="257">
        <f t="shared" si="0"/>
        <v>31363.734696528416</v>
      </c>
      <c r="H21" s="257">
        <f t="shared" si="0"/>
        <v>31398.270165469607</v>
      </c>
      <c r="I21" s="257">
        <f t="shared" si="0"/>
        <v>16235.517544715618</v>
      </c>
      <c r="J21" s="258">
        <f t="shared" si="0"/>
        <v>0</v>
      </c>
    </row>
    <row r="22" spans="1:13" s="249" customFormat="1" ht="12" x14ac:dyDescent="0.2">
      <c r="A22" s="259" t="s">
        <v>305</v>
      </c>
      <c r="B22" s="260" t="s">
        <v>306</v>
      </c>
      <c r="C22" s="261"/>
      <c r="D22" s="262">
        <f t="shared" ref="D22:D33" si="1">SUM(E22:J22)</f>
        <v>66619.294853421598</v>
      </c>
      <c r="E22" s="262">
        <f>'[1]Расчет амортизации'!G9/1000</f>
        <v>14962.52190613731</v>
      </c>
      <c r="F22" s="262">
        <f>'[1]Расчет амортизации'!H9/1000</f>
        <v>14156.313793880876</v>
      </c>
      <c r="G22" s="262">
        <f>'[1]Расчет амортизации'!I9/1000</f>
        <v>12463.734696528416</v>
      </c>
      <c r="H22" s="262">
        <f>'[1]Расчет амортизации'!J9/1000</f>
        <v>12298.270165469607</v>
      </c>
      <c r="I22" s="608">
        <f>'[1]Расчет амортизации'!K9/1000</f>
        <v>12738.454291405384</v>
      </c>
      <c r="J22" s="263"/>
    </row>
    <row r="23" spans="1:13" s="249" customFormat="1" ht="12" x14ac:dyDescent="0.2">
      <c r="A23" s="264" t="s">
        <v>307</v>
      </c>
      <c r="B23" s="260" t="s">
        <v>308</v>
      </c>
      <c r="C23" s="261"/>
      <c r="D23" s="262">
        <f t="shared" si="1"/>
        <v>77697.063253310233</v>
      </c>
      <c r="E23" s="262">
        <v>18000</v>
      </c>
      <c r="F23" s="265">
        <v>18200</v>
      </c>
      <c r="G23" s="265">
        <v>18900</v>
      </c>
      <c r="H23" s="265">
        <v>19100</v>
      </c>
      <c r="I23" s="609">
        <v>3497.0632533102344</v>
      </c>
      <c r="J23" s="265"/>
    </row>
    <row r="24" spans="1:13" s="249" customFormat="1" ht="24" outlineLevel="1" x14ac:dyDescent="0.2">
      <c r="A24" s="264" t="s">
        <v>309</v>
      </c>
      <c r="B24" s="260" t="s">
        <v>310</v>
      </c>
      <c r="C24" s="261"/>
      <c r="D24" s="262">
        <f t="shared" si="1"/>
        <v>0</v>
      </c>
      <c r="E24" s="262"/>
      <c r="F24" s="265"/>
      <c r="G24" s="265"/>
      <c r="H24" s="265"/>
      <c r="I24" s="265"/>
      <c r="J24" s="265"/>
    </row>
    <row r="25" spans="1:13" s="249" customFormat="1" ht="24" outlineLevel="1" x14ac:dyDescent="0.2">
      <c r="A25" s="266" t="s">
        <v>311</v>
      </c>
      <c r="B25" s="260" t="s">
        <v>312</v>
      </c>
      <c r="C25" s="261"/>
      <c r="D25" s="262">
        <f t="shared" si="1"/>
        <v>0</v>
      </c>
      <c r="E25" s="262"/>
      <c r="F25" s="265"/>
      <c r="G25" s="265"/>
      <c r="H25" s="265"/>
      <c r="I25" s="265"/>
      <c r="J25" s="265"/>
    </row>
    <row r="26" spans="1:13" s="247" customFormat="1" ht="12" x14ac:dyDescent="0.2">
      <c r="A26" s="254" t="s">
        <v>59</v>
      </c>
      <c r="B26" s="255" t="s">
        <v>313</v>
      </c>
      <c r="C26" s="256"/>
      <c r="D26" s="257">
        <f t="shared" si="1"/>
        <v>-130277.82</v>
      </c>
      <c r="E26" s="257">
        <f>E27+E28+E29</f>
        <v>-31313.82</v>
      </c>
      <c r="F26" s="257">
        <f t="shared" ref="F26:J26" si="2">F27+F28+F29</f>
        <v>-27508</v>
      </c>
      <c r="G26" s="257">
        <f t="shared" si="2"/>
        <v>-31363.73</v>
      </c>
      <c r="H26" s="257">
        <f t="shared" si="2"/>
        <v>-27699.98</v>
      </c>
      <c r="I26" s="257">
        <f t="shared" si="2"/>
        <v>-12392.29</v>
      </c>
      <c r="J26" s="258">
        <f t="shared" si="2"/>
        <v>0</v>
      </c>
    </row>
    <row r="27" spans="1:13" s="249" customFormat="1" ht="12" x14ac:dyDescent="0.2">
      <c r="A27" s="259" t="s">
        <v>314</v>
      </c>
      <c r="B27" s="260" t="s">
        <v>315</v>
      </c>
      <c r="C27" s="261"/>
      <c r="D27" s="262">
        <f t="shared" si="1"/>
        <v>-130277.82</v>
      </c>
      <c r="E27" s="262">
        <v>-31313.82</v>
      </c>
      <c r="F27" s="265">
        <v>-27508</v>
      </c>
      <c r="G27" s="265">
        <v>-31363.73</v>
      </c>
      <c r="H27" s="265">
        <v>-27699.98</v>
      </c>
      <c r="I27" s="265">
        <v>-12392.29</v>
      </c>
      <c r="J27" s="265"/>
      <c r="K27" s="267">
        <f>[1]Кредит!G32</f>
        <v>153727.82947655453</v>
      </c>
      <c r="L27" s="268">
        <f>-K27/1.18</f>
        <v>-130277.82159030046</v>
      </c>
      <c r="M27" s="269"/>
    </row>
    <row r="28" spans="1:13" s="249" customFormat="1" ht="12" x14ac:dyDescent="0.2">
      <c r="A28" s="264" t="s">
        <v>316</v>
      </c>
      <c r="B28" s="260" t="s">
        <v>317</v>
      </c>
      <c r="C28" s="261"/>
      <c r="D28" s="262">
        <f t="shared" si="1"/>
        <v>0</v>
      </c>
      <c r="E28" s="262"/>
      <c r="F28" s="265"/>
      <c r="G28" s="265"/>
      <c r="H28" s="265"/>
      <c r="I28" s="265"/>
      <c r="J28" s="265"/>
    </row>
    <row r="29" spans="1:13" s="249" customFormat="1" ht="12" x14ac:dyDescent="0.2">
      <c r="A29" s="266" t="s">
        <v>318</v>
      </c>
      <c r="B29" s="260" t="s">
        <v>319</v>
      </c>
      <c r="C29" s="261"/>
      <c r="D29" s="262">
        <f t="shared" si="1"/>
        <v>0</v>
      </c>
      <c r="E29" s="262"/>
      <c r="F29" s="265"/>
      <c r="G29" s="265"/>
      <c r="H29" s="265"/>
      <c r="I29" s="265"/>
      <c r="J29" s="265"/>
    </row>
    <row r="30" spans="1:13" s="247" customFormat="1" ht="12" x14ac:dyDescent="0.2">
      <c r="A30" s="254" t="s">
        <v>62</v>
      </c>
      <c r="B30" s="255" t="s">
        <v>123</v>
      </c>
      <c r="C30" s="256"/>
      <c r="D30" s="257">
        <f t="shared" si="1"/>
        <v>0</v>
      </c>
      <c r="E30" s="257"/>
      <c r="F30" s="270"/>
      <c r="G30" s="270"/>
      <c r="H30" s="270"/>
      <c r="I30" s="270"/>
      <c r="J30" s="270"/>
    </row>
    <row r="31" spans="1:13" s="247" customFormat="1" ht="25.9" customHeight="1" x14ac:dyDescent="0.2">
      <c r="A31" s="254" t="s">
        <v>64</v>
      </c>
      <c r="B31" s="255" t="s">
        <v>320</v>
      </c>
      <c r="C31" s="256"/>
      <c r="D31" s="257">
        <f t="shared" si="1"/>
        <v>0</v>
      </c>
      <c r="E31" s="257"/>
      <c r="F31" s="270"/>
      <c r="G31" s="270"/>
      <c r="H31" s="270"/>
      <c r="I31" s="270"/>
      <c r="J31" s="270"/>
    </row>
    <row r="32" spans="1:13" s="247" customFormat="1" ht="19.899999999999999" customHeight="1" x14ac:dyDescent="0.2">
      <c r="A32" s="254"/>
      <c r="B32" s="255" t="s">
        <v>29</v>
      </c>
      <c r="C32" s="256"/>
      <c r="D32" s="257">
        <f t="shared" si="1"/>
        <v>14038.538106731823</v>
      </c>
      <c r="E32" s="257">
        <f>E21+E26+E30+E31</f>
        <v>1648.7019061373067</v>
      </c>
      <c r="F32" s="257">
        <f t="shared" ref="F32:J32" si="3">F21+F26+F30+F31</f>
        <v>4848.3137938808759</v>
      </c>
      <c r="G32" s="257">
        <f t="shared" si="3"/>
        <v>4.696528416388901E-3</v>
      </c>
      <c r="H32" s="257">
        <f t="shared" si="3"/>
        <v>3698.290165469607</v>
      </c>
      <c r="I32" s="257">
        <f>I21+I26+I30+I31</f>
        <v>3843.2275447156171</v>
      </c>
      <c r="J32" s="258">
        <f t="shared" si="3"/>
        <v>0</v>
      </c>
      <c r="K32" s="271"/>
    </row>
    <row r="33" spans="1:13" ht="30.6" customHeight="1" x14ac:dyDescent="0.2">
      <c r="A33" s="272"/>
      <c r="B33" s="273" t="s">
        <v>321</v>
      </c>
      <c r="C33" s="272"/>
      <c r="D33" s="274">
        <v>38386.47</v>
      </c>
      <c r="E33" s="274">
        <v>15744.18</v>
      </c>
      <c r="F33" s="274">
        <v>12172.04</v>
      </c>
      <c r="G33" s="274">
        <v>6322.02</v>
      </c>
      <c r="H33" s="274">
        <v>3129.2</v>
      </c>
      <c r="I33" s="274">
        <v>1019.02</v>
      </c>
      <c r="J33" s="274">
        <f>[1]Кредит!F116</f>
        <v>-3.2154802306365588E-5</v>
      </c>
      <c r="K33" s="241">
        <f>'[1]2 ИП ТС'!K51-'[1]2 ИП ТС'!L51</f>
        <v>16565.472845561162</v>
      </c>
      <c r="L33" s="241">
        <f>K33/1.18</f>
        <v>14038.536309797595</v>
      </c>
      <c r="M33" s="275">
        <f>L33-D32</f>
        <v>-1.7969342279684497E-3</v>
      </c>
    </row>
    <row r="34" spans="1:13" s="276" customFormat="1" ht="102" customHeight="1" x14ac:dyDescent="0.2">
      <c r="A34" s="561"/>
      <c r="B34" s="561"/>
      <c r="C34" s="561"/>
      <c r="D34" s="561"/>
      <c r="E34" s="561"/>
      <c r="F34" s="561"/>
      <c r="G34" s="561"/>
      <c r="H34" s="561"/>
      <c r="I34" s="561"/>
      <c r="J34" s="561"/>
    </row>
    <row r="35" spans="1:13" ht="19.899999999999999" customHeight="1" x14ac:dyDescent="0.2">
      <c r="D35" s="277"/>
      <c r="E35" s="242"/>
    </row>
    <row r="36" spans="1:13" ht="19.899999999999999" customHeight="1" x14ac:dyDescent="0.2"/>
    <row r="37" spans="1:13" ht="19.899999999999999" customHeight="1" x14ac:dyDescent="0.2"/>
    <row r="38" spans="1:13" ht="19.899999999999999" customHeight="1" x14ac:dyDescent="0.2">
      <c r="B38" s="241" t="s">
        <v>512</v>
      </c>
      <c r="D38" s="278">
        <f>SUM(E38:J38)</f>
        <v>170293.30256594354</v>
      </c>
      <c r="E38" s="278">
        <f>E21*1.18</f>
        <v>38895.775849242018</v>
      </c>
      <c r="F38" s="278">
        <f t="shared" ref="F38:J38" si="4">F21*1.18</f>
        <v>38180.450276779433</v>
      </c>
      <c r="G38" s="278">
        <f t="shared" si="4"/>
        <v>37009.206941903532</v>
      </c>
      <c r="H38" s="278">
        <f t="shared" si="4"/>
        <v>37049.958795254133</v>
      </c>
      <c r="I38" s="278">
        <f t="shared" si="4"/>
        <v>19157.910702764428</v>
      </c>
      <c r="J38" s="278">
        <f t="shared" si="4"/>
        <v>0</v>
      </c>
    </row>
    <row r="39" spans="1:13" ht="37.9" customHeight="1" x14ac:dyDescent="0.2">
      <c r="B39" s="279" t="s">
        <v>513</v>
      </c>
      <c r="C39" s="272"/>
      <c r="D39" s="278">
        <f>SUM(E39:J39)</f>
        <v>53216.879623025401</v>
      </c>
      <c r="E39" s="278"/>
      <c r="F39" s="278"/>
      <c r="G39" s="278" t="s">
        <v>514</v>
      </c>
      <c r="H39" s="278">
        <f t="shared" ref="H39:J39" si="5">H21</f>
        <v>31398.270165469607</v>
      </c>
      <c r="I39" s="278">
        <v>21818.609457555795</v>
      </c>
      <c r="J39" s="278">
        <f t="shared" si="5"/>
        <v>0</v>
      </c>
    </row>
    <row r="40" spans="1:13" ht="19.899999999999999" customHeight="1" x14ac:dyDescent="0.2">
      <c r="B40" s="241" t="s">
        <v>515</v>
      </c>
      <c r="D40" s="280"/>
      <c r="E40" s="280"/>
      <c r="F40" s="280"/>
      <c r="G40" s="280"/>
      <c r="H40" s="280"/>
      <c r="I40" s="280">
        <f>I39/1.18</f>
        <v>18490.346997928642</v>
      </c>
      <c r="J40" s="280"/>
    </row>
    <row r="41" spans="1:13" ht="19.899999999999999" customHeight="1" x14ac:dyDescent="0.2">
      <c r="B41" s="272" t="s">
        <v>516</v>
      </c>
      <c r="C41" s="272"/>
      <c r="D41" s="278">
        <f t="shared" ref="D41:D43" si="6">SUM(E41:J41)</f>
        <v>8899.0027868842881</v>
      </c>
      <c r="E41" s="278"/>
      <c r="F41" s="278"/>
      <c r="G41" s="278">
        <f>'[1]2 ИП ТС'!P51</f>
        <v>0</v>
      </c>
      <c r="H41" s="278">
        <f>'[1]2 ИП ТС'!Q51</f>
        <v>4364.0027914169095</v>
      </c>
      <c r="I41" s="278">
        <f>'[1]2 ИП ТС'!R51</f>
        <v>4534.9999954673794</v>
      </c>
      <c r="J41" s="278">
        <f>'[1]2 ИП ТС'!S51</f>
        <v>0</v>
      </c>
    </row>
    <row r="42" spans="1:13" ht="19.899999999999999" customHeight="1" x14ac:dyDescent="0.2">
      <c r="B42" s="272" t="s">
        <v>517</v>
      </c>
      <c r="C42" s="272"/>
      <c r="D42" s="278">
        <f t="shared" si="6"/>
        <v>7541.5277854951601</v>
      </c>
      <c r="E42" s="278"/>
      <c r="F42" s="278"/>
      <c r="G42" s="278">
        <f t="shared" ref="G42:J42" si="7">G41/1.18</f>
        <v>0</v>
      </c>
      <c r="H42" s="278">
        <f t="shared" si="7"/>
        <v>3698.3074503533135</v>
      </c>
      <c r="I42" s="278">
        <f t="shared" si="7"/>
        <v>3843.220335141847</v>
      </c>
      <c r="J42" s="278">
        <f t="shared" si="7"/>
        <v>0</v>
      </c>
    </row>
    <row r="43" spans="1:13" s="247" customFormat="1" ht="19.899999999999999" customHeight="1" x14ac:dyDescent="0.2">
      <c r="B43" s="281" t="s">
        <v>518</v>
      </c>
      <c r="C43" s="281"/>
      <c r="D43" s="282" t="e">
        <f t="shared" si="6"/>
        <v>#VALUE!</v>
      </c>
      <c r="E43" s="282"/>
      <c r="F43" s="282"/>
      <c r="G43" s="282" t="e">
        <f t="shared" ref="G43:J43" si="8">G42-G39</f>
        <v>#VALUE!</v>
      </c>
      <c r="H43" s="282">
        <f t="shared" si="8"/>
        <v>-27699.962715116293</v>
      </c>
      <c r="I43" s="282">
        <f t="shared" si="8"/>
        <v>-17975.389122413948</v>
      </c>
      <c r="J43" s="282">
        <f t="shared" si="8"/>
        <v>0</v>
      </c>
    </row>
    <row r="44" spans="1:13" ht="19.899999999999999" customHeight="1" x14ac:dyDescent="0.2">
      <c r="B44" s="241" t="s">
        <v>519</v>
      </c>
      <c r="D44" s="283">
        <f>[1]Кредит!G31/1.18+Тиличики!D42</f>
        <v>137819.34937579563</v>
      </c>
    </row>
    <row r="45" spans="1:13" ht="19.899999999999999" customHeight="1" x14ac:dyDescent="0.2"/>
    <row r="46" spans="1:13" ht="19.899999999999999" customHeight="1" x14ac:dyDescent="0.2"/>
    <row r="47" spans="1:13" ht="19.899999999999999" customHeight="1" x14ac:dyDescent="0.2">
      <c r="I47" s="241">
        <v>16235.51758358237</v>
      </c>
    </row>
    <row r="48" spans="1:13" ht="19.899999999999999" customHeight="1" x14ac:dyDescent="0.2">
      <c r="E48" s="280"/>
    </row>
    <row r="49" spans="5:5" ht="19.899999999999999" customHeight="1" x14ac:dyDescent="0.2">
      <c r="E49" s="280"/>
    </row>
    <row r="50" spans="5:5" ht="19.899999999999999" customHeight="1" x14ac:dyDescent="0.2"/>
    <row r="51" spans="5:5" ht="19.899999999999999" customHeight="1" x14ac:dyDescent="0.2"/>
    <row r="52" spans="5:5" ht="19.899999999999999" customHeight="1" x14ac:dyDescent="0.2"/>
    <row r="53" spans="5:5" ht="19.899999999999999" customHeight="1" x14ac:dyDescent="0.2"/>
    <row r="54" spans="5:5" ht="19.899999999999999" customHeight="1" x14ac:dyDescent="0.2"/>
    <row r="55" spans="5:5" ht="19.899999999999999" customHeight="1" x14ac:dyDescent="0.2"/>
    <row r="56" spans="5:5" ht="19.899999999999999" customHeight="1" x14ac:dyDescent="0.2"/>
    <row r="57" spans="5:5" ht="19.899999999999999" customHeight="1" x14ac:dyDescent="0.2"/>
    <row r="58" spans="5:5" ht="19.899999999999999" customHeight="1" x14ac:dyDescent="0.2"/>
    <row r="59" spans="5:5" ht="19.899999999999999" customHeight="1" x14ac:dyDescent="0.2"/>
    <row r="60" spans="5:5" ht="19.899999999999999" customHeight="1" x14ac:dyDescent="0.2"/>
    <row r="61" spans="5:5" ht="19.899999999999999" customHeight="1" x14ac:dyDescent="0.2"/>
    <row r="62" spans="5:5" ht="19.899999999999999" customHeight="1" x14ac:dyDescent="0.2"/>
    <row r="63" spans="5:5" ht="19.899999999999999" customHeight="1" x14ac:dyDescent="0.2"/>
    <row r="64" spans="5:5" ht="19.899999999999999" customHeight="1" x14ac:dyDescent="0.2"/>
    <row r="65" ht="19.899999999999999" customHeight="1" x14ac:dyDescent="0.2"/>
    <row r="66" ht="19.899999999999999" customHeight="1" x14ac:dyDescent="0.2"/>
    <row r="67" ht="19.899999999999999" customHeight="1" x14ac:dyDescent="0.2"/>
    <row r="68" ht="19.899999999999999" customHeight="1" x14ac:dyDescent="0.2"/>
    <row r="69" ht="19.899999999999999" customHeight="1" x14ac:dyDescent="0.2"/>
    <row r="70" ht="19.899999999999999" customHeight="1" x14ac:dyDescent="0.2"/>
    <row r="71" ht="19.899999999999999" customHeight="1" x14ac:dyDescent="0.2"/>
    <row r="72" ht="19.899999999999999" customHeight="1" x14ac:dyDescent="0.2"/>
    <row r="73" ht="19.899999999999999" customHeight="1" x14ac:dyDescent="0.2"/>
    <row r="74" ht="19.899999999999999" customHeight="1" x14ac:dyDescent="0.2"/>
    <row r="75" ht="19.899999999999999" customHeight="1" x14ac:dyDescent="0.2"/>
    <row r="76" ht="19.899999999999999" customHeight="1" x14ac:dyDescent="0.2"/>
    <row r="77" ht="19.899999999999999" customHeight="1" x14ac:dyDescent="0.2"/>
    <row r="78" ht="19.899999999999999" customHeight="1" x14ac:dyDescent="0.2"/>
    <row r="79" ht="19.899999999999999" customHeight="1" x14ac:dyDescent="0.2"/>
    <row r="80" ht="19.899999999999999" customHeight="1" x14ac:dyDescent="0.2"/>
    <row r="81" ht="19.899999999999999" customHeight="1" x14ac:dyDescent="0.2"/>
    <row r="82" ht="19.899999999999999" customHeight="1" x14ac:dyDescent="0.2"/>
    <row r="83" ht="19.899999999999999" customHeight="1" x14ac:dyDescent="0.2"/>
    <row r="84" ht="19.899999999999999" customHeight="1" x14ac:dyDescent="0.2"/>
    <row r="85" ht="19.899999999999999" customHeight="1" x14ac:dyDescent="0.2"/>
    <row r="86" ht="19.899999999999999" customHeight="1" x14ac:dyDescent="0.2"/>
    <row r="87" ht="19.899999999999999" customHeight="1" x14ac:dyDescent="0.2"/>
    <row r="88" ht="19.899999999999999" customHeight="1" x14ac:dyDescent="0.2"/>
    <row r="89" ht="19.899999999999999" customHeight="1" x14ac:dyDescent="0.2"/>
    <row r="90" ht="19.899999999999999" customHeight="1" x14ac:dyDescent="0.2"/>
    <row r="91" ht="19.899999999999999" customHeight="1" x14ac:dyDescent="0.2"/>
    <row r="92" ht="19.899999999999999" customHeight="1" x14ac:dyDescent="0.2"/>
    <row r="93" ht="19.899999999999999" customHeight="1" x14ac:dyDescent="0.2"/>
    <row r="94" ht="19.899999999999999" customHeight="1" x14ac:dyDescent="0.2"/>
    <row r="95" ht="19.899999999999999" customHeight="1" x14ac:dyDescent="0.2"/>
    <row r="96" ht="19.899999999999999" customHeight="1" x14ac:dyDescent="0.2"/>
    <row r="97" ht="19.899999999999999" customHeight="1" x14ac:dyDescent="0.2"/>
    <row r="98" ht="19.899999999999999" customHeight="1" x14ac:dyDescent="0.2"/>
    <row r="99" ht="19.899999999999999" customHeight="1" x14ac:dyDescent="0.2"/>
    <row r="100" ht="19.899999999999999" customHeight="1" x14ac:dyDescent="0.2"/>
    <row r="101" ht="19.899999999999999" customHeight="1" x14ac:dyDescent="0.2"/>
    <row r="102" ht="19.899999999999999" customHeight="1" x14ac:dyDescent="0.2"/>
    <row r="103" ht="19.899999999999999" customHeight="1" x14ac:dyDescent="0.2"/>
    <row r="104" ht="19.899999999999999" customHeight="1" x14ac:dyDescent="0.2"/>
    <row r="105" ht="19.899999999999999" customHeight="1" x14ac:dyDescent="0.2"/>
    <row r="106" ht="19.899999999999999" customHeight="1" x14ac:dyDescent="0.2"/>
    <row r="107" ht="19.899999999999999" customHeight="1" x14ac:dyDescent="0.2"/>
    <row r="108" ht="19.899999999999999" customHeight="1" x14ac:dyDescent="0.2"/>
    <row r="109" ht="19.899999999999999" customHeight="1" x14ac:dyDescent="0.2"/>
    <row r="110" ht="19.899999999999999" customHeight="1" x14ac:dyDescent="0.2"/>
    <row r="111" ht="19.899999999999999" customHeight="1" x14ac:dyDescent="0.2"/>
    <row r="112" ht="19.899999999999999" customHeight="1" x14ac:dyDescent="0.2"/>
    <row r="113" ht="19.899999999999999" customHeight="1" x14ac:dyDescent="0.2"/>
    <row r="114" ht="19.899999999999999" customHeight="1" x14ac:dyDescent="0.2"/>
    <row r="115" ht="19.899999999999999" customHeight="1" x14ac:dyDescent="0.2"/>
    <row r="116" ht="19.899999999999999" customHeight="1" x14ac:dyDescent="0.2"/>
    <row r="117" ht="19.899999999999999" customHeight="1" x14ac:dyDescent="0.2"/>
    <row r="118" ht="19.899999999999999" customHeight="1" x14ac:dyDescent="0.2"/>
    <row r="119" ht="19.899999999999999" customHeight="1" x14ac:dyDescent="0.2"/>
    <row r="120" ht="19.899999999999999" customHeight="1" x14ac:dyDescent="0.2"/>
    <row r="121" ht="19.899999999999999" customHeight="1" x14ac:dyDescent="0.2"/>
    <row r="122" ht="19.899999999999999" customHeight="1" x14ac:dyDescent="0.2"/>
    <row r="123" ht="19.899999999999999" customHeight="1" x14ac:dyDescent="0.2"/>
    <row r="124" ht="19.899999999999999" customHeight="1" x14ac:dyDescent="0.2"/>
    <row r="125" ht="19.899999999999999" customHeight="1" x14ac:dyDescent="0.2"/>
    <row r="126" ht="19.899999999999999" customHeight="1" x14ac:dyDescent="0.2"/>
    <row r="127" ht="19.899999999999999" customHeight="1" x14ac:dyDescent="0.2"/>
    <row r="128" ht="19.899999999999999" customHeight="1" x14ac:dyDescent="0.2"/>
    <row r="129" ht="19.899999999999999" customHeight="1" x14ac:dyDescent="0.2"/>
    <row r="130" ht="19.899999999999999" customHeight="1" x14ac:dyDescent="0.2"/>
    <row r="131" ht="19.899999999999999" customHeight="1" x14ac:dyDescent="0.2"/>
    <row r="132" ht="19.899999999999999" customHeight="1" x14ac:dyDescent="0.2"/>
    <row r="133" ht="19.899999999999999" customHeight="1" x14ac:dyDescent="0.2"/>
    <row r="134" ht="19.899999999999999" customHeight="1" x14ac:dyDescent="0.2"/>
    <row r="135" ht="19.899999999999999" customHeight="1" x14ac:dyDescent="0.2"/>
    <row r="136" ht="19.899999999999999" customHeight="1" x14ac:dyDescent="0.2"/>
    <row r="137" ht="19.899999999999999" customHeight="1" x14ac:dyDescent="0.2"/>
    <row r="138" ht="19.899999999999999" customHeight="1" x14ac:dyDescent="0.2"/>
    <row r="139" ht="19.899999999999999" customHeight="1" x14ac:dyDescent="0.2"/>
    <row r="140" ht="19.899999999999999" customHeight="1" x14ac:dyDescent="0.2"/>
    <row r="141" ht="19.899999999999999" customHeight="1" x14ac:dyDescent="0.2"/>
    <row r="142" ht="19.899999999999999" customHeight="1" x14ac:dyDescent="0.2"/>
    <row r="143" ht="19.899999999999999" customHeight="1" x14ac:dyDescent="0.2"/>
    <row r="144" ht="19.899999999999999" customHeight="1" x14ac:dyDescent="0.2"/>
    <row r="145" ht="19.899999999999999" customHeight="1" x14ac:dyDescent="0.2"/>
    <row r="146" ht="19.899999999999999" customHeight="1" x14ac:dyDescent="0.2"/>
    <row r="147" ht="19.899999999999999" customHeight="1" x14ac:dyDescent="0.2"/>
    <row r="148" ht="19.899999999999999" customHeight="1" x14ac:dyDescent="0.2"/>
    <row r="149" ht="19.899999999999999" customHeight="1" x14ac:dyDescent="0.2"/>
    <row r="150" ht="19.899999999999999" customHeight="1" x14ac:dyDescent="0.2"/>
    <row r="151" ht="19.899999999999999" customHeight="1" x14ac:dyDescent="0.2"/>
    <row r="152" ht="19.899999999999999" customHeight="1" x14ac:dyDescent="0.2"/>
    <row r="154" ht="19.899999999999999" customHeight="1" x14ac:dyDescent="0.2"/>
    <row r="155" ht="19.899999999999999" customHeight="1" x14ac:dyDescent="0.2"/>
    <row r="156" ht="19.899999999999999" customHeight="1" x14ac:dyDescent="0.2"/>
    <row r="157" ht="19.899999999999999" customHeight="1" x14ac:dyDescent="0.2"/>
    <row r="158" ht="19.899999999999999" customHeight="1" x14ac:dyDescent="0.2"/>
    <row r="159" ht="19.899999999999999" customHeight="1" x14ac:dyDescent="0.2"/>
    <row r="160" ht="19.899999999999999" customHeight="1" x14ac:dyDescent="0.2"/>
    <row r="161" ht="19.899999999999999" customHeight="1" x14ac:dyDescent="0.2"/>
    <row r="162" ht="19.899999999999999" customHeight="1" x14ac:dyDescent="0.2"/>
    <row r="163" ht="19.899999999999999" customHeight="1" x14ac:dyDescent="0.2"/>
    <row r="164" ht="19.899999999999999" customHeight="1" x14ac:dyDescent="0.2"/>
    <row r="165" ht="19.899999999999999" customHeight="1" x14ac:dyDescent="0.2"/>
    <row r="166" ht="19.899999999999999" customHeight="1" x14ac:dyDescent="0.2"/>
    <row r="167" ht="19.899999999999999" customHeight="1" x14ac:dyDescent="0.2"/>
    <row r="168" ht="19.899999999999999" customHeight="1" x14ac:dyDescent="0.2"/>
    <row r="169" ht="19.899999999999999" customHeight="1" x14ac:dyDescent="0.2"/>
    <row r="170" ht="19.899999999999999" customHeight="1" x14ac:dyDescent="0.2"/>
    <row r="171" ht="19.899999999999999" customHeight="1" x14ac:dyDescent="0.2"/>
    <row r="172" ht="19.899999999999999" customHeight="1" x14ac:dyDescent="0.2"/>
    <row r="173" ht="19.899999999999999" customHeight="1" x14ac:dyDescent="0.2"/>
    <row r="174" ht="19.899999999999999" customHeight="1" x14ac:dyDescent="0.2"/>
    <row r="175" ht="19.899999999999999" customHeight="1" x14ac:dyDescent="0.2"/>
    <row r="176" ht="19.899999999999999" customHeight="1" x14ac:dyDescent="0.2"/>
    <row r="177" ht="19.899999999999999" customHeight="1" x14ac:dyDescent="0.2"/>
    <row r="178" ht="19.899999999999999" customHeight="1" x14ac:dyDescent="0.2"/>
    <row r="179" ht="19.899999999999999" customHeight="1" x14ac:dyDescent="0.2"/>
    <row r="180" ht="19.899999999999999" customHeight="1" x14ac:dyDescent="0.2"/>
    <row r="181" ht="19.899999999999999" customHeight="1" x14ac:dyDescent="0.2"/>
    <row r="182" ht="19.899999999999999" customHeight="1" x14ac:dyDescent="0.2"/>
    <row r="183" ht="19.899999999999999" customHeight="1" x14ac:dyDescent="0.2"/>
    <row r="184" ht="19.899999999999999" customHeight="1" x14ac:dyDescent="0.2"/>
    <row r="185" ht="19.899999999999999" customHeight="1" x14ac:dyDescent="0.2"/>
    <row r="186" ht="19.899999999999999" customHeight="1" x14ac:dyDescent="0.2"/>
    <row r="187" ht="19.899999999999999" customHeight="1" x14ac:dyDescent="0.2"/>
    <row r="188" ht="19.899999999999999" customHeight="1" x14ac:dyDescent="0.2"/>
    <row r="189" ht="19.899999999999999" customHeight="1" x14ac:dyDescent="0.2"/>
    <row r="190" ht="19.899999999999999" customHeight="1" x14ac:dyDescent="0.2"/>
    <row r="191" ht="19.899999999999999" customHeight="1" x14ac:dyDescent="0.2"/>
    <row r="192" ht="19.899999999999999" customHeight="1" x14ac:dyDescent="0.2"/>
    <row r="193" ht="19.899999999999999" customHeight="1" x14ac:dyDescent="0.2"/>
    <row r="194" ht="19.899999999999999" customHeight="1" x14ac:dyDescent="0.2"/>
    <row r="195" ht="19.899999999999999" customHeight="1" x14ac:dyDescent="0.2"/>
    <row r="196" ht="19.899999999999999" customHeight="1" x14ac:dyDescent="0.2"/>
    <row r="197" ht="19.899999999999999" customHeight="1" x14ac:dyDescent="0.2"/>
    <row r="198" ht="19.899999999999999" customHeight="1" x14ac:dyDescent="0.2"/>
    <row r="199" ht="19.899999999999999" customHeight="1" x14ac:dyDescent="0.2"/>
    <row r="200" ht="19.899999999999999" customHeight="1" x14ac:dyDescent="0.2"/>
    <row r="201" ht="19.899999999999999" customHeight="1" x14ac:dyDescent="0.2"/>
    <row r="202" ht="19.899999999999999" customHeight="1" x14ac:dyDescent="0.2"/>
    <row r="203" ht="19.899999999999999" customHeight="1" x14ac:dyDescent="0.2"/>
    <row r="204" ht="19.899999999999999" customHeight="1" x14ac:dyDescent="0.2"/>
    <row r="205" ht="19.899999999999999" customHeight="1" x14ac:dyDescent="0.2"/>
    <row r="206" ht="19.899999999999999" customHeight="1" x14ac:dyDescent="0.2"/>
    <row r="207" ht="19.899999999999999" customHeight="1" x14ac:dyDescent="0.2"/>
    <row r="208" ht="19.899999999999999" customHeight="1" x14ac:dyDescent="0.2"/>
  </sheetData>
  <mergeCells count="17">
    <mergeCell ref="A34:J34"/>
    <mergeCell ref="C18:C19"/>
    <mergeCell ref="E18:E19"/>
    <mergeCell ref="F18:F19"/>
    <mergeCell ref="G18:G19"/>
    <mergeCell ref="H18:H19"/>
    <mergeCell ref="I18:I19"/>
    <mergeCell ref="A16:A19"/>
    <mergeCell ref="B16:B19"/>
    <mergeCell ref="C16:J16"/>
    <mergeCell ref="D17:D19"/>
    <mergeCell ref="E17:J17"/>
    <mergeCell ref="A10:J10"/>
    <mergeCell ref="A11:J11"/>
    <mergeCell ref="A12:J12"/>
    <mergeCell ref="A13:J13"/>
    <mergeCell ref="J18:J19"/>
  </mergeCells>
  <printOptions horizontalCentered="1"/>
  <pageMargins left="0.59055118110236227" right="0.19685039370078741" top="0.74803149606299213" bottom="0.35433070866141736" header="0.31496062992125984" footer="0.31496062992125984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view="pageBreakPreview" topLeftCell="A7" zoomScale="110" zoomScaleNormal="100" zoomScaleSheetLayoutView="110" workbookViewId="0">
      <selection activeCell="G4" sqref="G4"/>
    </sheetView>
  </sheetViews>
  <sheetFormatPr defaultColWidth="10.28515625" defaultRowHeight="50.45" customHeight="1" outlineLevelRow="1" outlineLevelCol="1" x14ac:dyDescent="0.2"/>
  <cols>
    <col min="1" max="1" width="6" style="311" customWidth="1"/>
    <col min="2" max="2" width="31.42578125" style="311" customWidth="1"/>
    <col min="3" max="3" width="12.85546875" style="311" hidden="1" customWidth="1"/>
    <col min="4" max="4" width="8.5703125" style="311" customWidth="1"/>
    <col min="5" max="8" width="7.85546875" style="311" customWidth="1"/>
    <col min="9" max="9" width="7.5703125" style="311" customWidth="1"/>
    <col min="10" max="10" width="12.140625" style="311" customWidth="1"/>
    <col min="11" max="11" width="11.140625" style="311" customWidth="1" outlineLevel="1"/>
    <col min="12" max="12" width="12" style="311" customWidth="1"/>
    <col min="13" max="15" width="7.85546875" style="311" customWidth="1"/>
    <col min="16" max="16384" width="10.28515625" style="311"/>
  </cols>
  <sheetData>
    <row r="1" spans="1:12" ht="12.75" x14ac:dyDescent="0.2">
      <c r="G1" s="4" t="s">
        <v>569</v>
      </c>
    </row>
    <row r="2" spans="1:12" ht="12.75" x14ac:dyDescent="0.2">
      <c r="G2" s="4" t="s">
        <v>531</v>
      </c>
    </row>
    <row r="3" spans="1:12" ht="12.75" x14ac:dyDescent="0.2">
      <c r="G3" s="4" t="s">
        <v>532</v>
      </c>
    </row>
    <row r="4" spans="1:12" ht="12.75" x14ac:dyDescent="0.2">
      <c r="G4" s="44" t="s">
        <v>580</v>
      </c>
    </row>
    <row r="5" spans="1:12" ht="12.75" x14ac:dyDescent="0.2">
      <c r="G5" s="3"/>
    </row>
    <row r="6" spans="1:12" ht="12.75" x14ac:dyDescent="0.2">
      <c r="G6" s="4" t="s">
        <v>570</v>
      </c>
    </row>
    <row r="7" spans="1:12" ht="12.75" x14ac:dyDescent="0.2">
      <c r="G7" s="4" t="s">
        <v>531</v>
      </c>
    </row>
    <row r="8" spans="1:12" ht="12.75" x14ac:dyDescent="0.2">
      <c r="G8" s="4" t="s">
        <v>532</v>
      </c>
    </row>
    <row r="9" spans="1:12" ht="12.75" x14ac:dyDescent="0.2">
      <c r="D9" s="575"/>
      <c r="E9" s="575"/>
      <c r="G9" s="44" t="s">
        <v>540</v>
      </c>
      <c r="J9" s="312"/>
      <c r="K9" s="313"/>
      <c r="L9" s="313"/>
    </row>
    <row r="10" spans="1:12" s="314" customFormat="1" ht="14.25" outlineLevel="1" x14ac:dyDescent="0.2">
      <c r="A10" s="576" t="s">
        <v>297</v>
      </c>
      <c r="B10" s="576"/>
      <c r="C10" s="576"/>
      <c r="D10" s="576"/>
      <c r="E10" s="576"/>
      <c r="F10" s="576"/>
      <c r="G10" s="576"/>
      <c r="H10" s="576"/>
      <c r="I10" s="576"/>
      <c r="J10" s="576"/>
    </row>
    <row r="11" spans="1:12" s="314" customFormat="1" ht="14.25" outlineLevel="1" x14ac:dyDescent="0.2">
      <c r="A11" s="577" t="s">
        <v>298</v>
      </c>
      <c r="B11" s="577"/>
      <c r="C11" s="577"/>
      <c r="D11" s="577"/>
      <c r="E11" s="577"/>
      <c r="F11" s="577"/>
      <c r="G11" s="577"/>
      <c r="H11" s="577"/>
      <c r="I11" s="577"/>
      <c r="J11" s="577"/>
    </row>
    <row r="12" spans="1:12" s="315" customFormat="1" ht="14.25" outlineLevel="1" x14ac:dyDescent="0.2">
      <c r="A12" s="578" t="s">
        <v>299</v>
      </c>
      <c r="B12" s="578"/>
      <c r="C12" s="578"/>
      <c r="D12" s="578"/>
      <c r="E12" s="578"/>
      <c r="F12" s="578"/>
      <c r="G12" s="578"/>
      <c r="H12" s="578"/>
      <c r="I12" s="578"/>
      <c r="J12" s="578"/>
    </row>
    <row r="13" spans="1:12" ht="14.25" outlineLevel="1" x14ac:dyDescent="0.2">
      <c r="A13" s="576" t="s">
        <v>300</v>
      </c>
      <c r="B13" s="576"/>
      <c r="C13" s="576"/>
      <c r="D13" s="576"/>
      <c r="E13" s="576"/>
      <c r="F13" s="576"/>
      <c r="G13" s="576"/>
      <c r="H13" s="576"/>
      <c r="I13" s="576"/>
      <c r="J13" s="576"/>
    </row>
    <row r="14" spans="1:12" ht="12.75" outlineLevel="1" x14ac:dyDescent="0.2"/>
    <row r="15" spans="1:12" ht="12.75" outlineLevel="1" x14ac:dyDescent="0.2">
      <c r="A15" s="316" t="s">
        <v>322</v>
      </c>
    </row>
    <row r="16" spans="1:12" s="317" customFormat="1" ht="35.25" customHeight="1" x14ac:dyDescent="0.2">
      <c r="A16" s="586" t="s">
        <v>0</v>
      </c>
      <c r="B16" s="579" t="s">
        <v>302</v>
      </c>
      <c r="C16" s="589" t="s">
        <v>303</v>
      </c>
      <c r="D16" s="589"/>
      <c r="E16" s="589"/>
      <c r="F16" s="589"/>
      <c r="G16" s="589"/>
      <c r="H16" s="589"/>
      <c r="I16" s="589"/>
      <c r="J16" s="589"/>
    </row>
    <row r="17" spans="1:11" s="319" customFormat="1" ht="21" customHeight="1" x14ac:dyDescent="0.2">
      <c r="A17" s="587"/>
      <c r="B17" s="579"/>
      <c r="C17" s="318" t="s">
        <v>510</v>
      </c>
      <c r="D17" s="590" t="s">
        <v>4</v>
      </c>
      <c r="E17" s="589" t="s">
        <v>304</v>
      </c>
      <c r="F17" s="589"/>
      <c r="G17" s="589"/>
      <c r="H17" s="589"/>
      <c r="I17" s="589"/>
      <c r="J17" s="589"/>
    </row>
    <row r="18" spans="1:11" s="319" customFormat="1" ht="12" x14ac:dyDescent="0.2">
      <c r="A18" s="587"/>
      <c r="B18" s="579"/>
      <c r="C18" s="581" t="s">
        <v>511</v>
      </c>
      <c r="D18" s="591"/>
      <c r="E18" s="583" t="s">
        <v>106</v>
      </c>
      <c r="F18" s="579">
        <v>2019</v>
      </c>
      <c r="G18" s="585">
        <v>2020</v>
      </c>
      <c r="H18" s="585">
        <v>2021</v>
      </c>
      <c r="I18" s="585" t="s">
        <v>143</v>
      </c>
      <c r="J18" s="579">
        <v>2023</v>
      </c>
    </row>
    <row r="19" spans="1:11" s="319" customFormat="1" ht="12" x14ac:dyDescent="0.2">
      <c r="A19" s="588"/>
      <c r="B19" s="579"/>
      <c r="C19" s="582"/>
      <c r="D19" s="592"/>
      <c r="E19" s="584"/>
      <c r="F19" s="579"/>
      <c r="G19" s="585"/>
      <c r="H19" s="585"/>
      <c r="I19" s="585"/>
      <c r="J19" s="579"/>
    </row>
    <row r="20" spans="1:11" s="322" customFormat="1" ht="12" x14ac:dyDescent="0.2">
      <c r="A20" s="320">
        <v>1</v>
      </c>
      <c r="B20" s="320">
        <v>2</v>
      </c>
      <c r="C20" s="320">
        <v>3</v>
      </c>
      <c r="D20" s="320">
        <v>3</v>
      </c>
      <c r="E20" s="320">
        <v>4</v>
      </c>
      <c r="F20" s="321">
        <v>5</v>
      </c>
      <c r="G20" s="321">
        <v>6</v>
      </c>
      <c r="H20" s="321">
        <v>7</v>
      </c>
      <c r="I20" s="321">
        <v>8</v>
      </c>
      <c r="J20" s="321">
        <v>9</v>
      </c>
    </row>
    <row r="21" spans="1:11" s="317" customFormat="1" ht="12" x14ac:dyDescent="0.2">
      <c r="A21" s="323" t="s">
        <v>90</v>
      </c>
      <c r="B21" s="324" t="s">
        <v>122</v>
      </c>
      <c r="C21" s="325"/>
      <c r="D21" s="325">
        <f>SUM(E21:J21)</f>
        <v>3422</v>
      </c>
      <c r="E21" s="325">
        <f>E22+E23+E24+E25</f>
        <v>3422</v>
      </c>
      <c r="F21" s="325">
        <f t="shared" ref="F21:J21" si="0">F22+F23+F24+F25</f>
        <v>0</v>
      </c>
      <c r="G21" s="325">
        <f t="shared" si="0"/>
        <v>0</v>
      </c>
      <c r="H21" s="325">
        <f t="shared" si="0"/>
        <v>0</v>
      </c>
      <c r="I21" s="325">
        <f t="shared" si="0"/>
        <v>0</v>
      </c>
      <c r="J21" s="326">
        <f t="shared" si="0"/>
        <v>0</v>
      </c>
    </row>
    <row r="22" spans="1:11" s="319" customFormat="1" ht="12" x14ac:dyDescent="0.2">
      <c r="A22" s="327" t="s">
        <v>305</v>
      </c>
      <c r="B22" s="328" t="s">
        <v>306</v>
      </c>
      <c r="C22" s="329"/>
      <c r="D22" s="329">
        <f t="shared" ref="D22:D33" si="1">SUM(E22:J22)</f>
        <v>613.15452000000005</v>
      </c>
      <c r="E22" s="329">
        <f>'[2]Расчет амортизации'!G11/1000</f>
        <v>613.15452000000005</v>
      </c>
      <c r="F22" s="329">
        <v>0</v>
      </c>
      <c r="G22" s="329">
        <v>0</v>
      </c>
      <c r="H22" s="329">
        <v>0</v>
      </c>
      <c r="I22" s="329">
        <v>0</v>
      </c>
      <c r="J22" s="330">
        <f>'[2]Расчет амортизации'!L11/1000</f>
        <v>0</v>
      </c>
    </row>
    <row r="23" spans="1:11" s="319" customFormat="1" ht="14.45" customHeight="1" x14ac:dyDescent="0.2">
      <c r="A23" s="331" t="s">
        <v>307</v>
      </c>
      <c r="B23" s="328" t="s">
        <v>308</v>
      </c>
      <c r="C23" s="329"/>
      <c r="D23" s="329">
        <f t="shared" si="1"/>
        <v>2808.84548</v>
      </c>
      <c r="E23" s="329">
        <f>E41-E22</f>
        <v>2808.84548</v>
      </c>
      <c r="F23" s="329">
        <v>0</v>
      </c>
      <c r="G23" s="329">
        <v>0</v>
      </c>
      <c r="H23" s="329">
        <v>0</v>
      </c>
      <c r="I23" s="329">
        <v>0</v>
      </c>
      <c r="J23" s="330">
        <f>'[2]Расчет амортизации'!L12/1000</f>
        <v>0</v>
      </c>
    </row>
    <row r="24" spans="1:11" s="319" customFormat="1" ht="24" outlineLevel="1" x14ac:dyDescent="0.2">
      <c r="A24" s="331" t="s">
        <v>309</v>
      </c>
      <c r="B24" s="328" t="s">
        <v>310</v>
      </c>
      <c r="C24" s="329"/>
      <c r="D24" s="329">
        <f t="shared" si="1"/>
        <v>0</v>
      </c>
      <c r="E24" s="329"/>
      <c r="F24" s="332"/>
      <c r="G24" s="332"/>
      <c r="H24" s="332"/>
      <c r="I24" s="332"/>
      <c r="J24" s="332"/>
    </row>
    <row r="25" spans="1:11" s="319" customFormat="1" ht="24" outlineLevel="1" x14ac:dyDescent="0.2">
      <c r="A25" s="333" t="s">
        <v>311</v>
      </c>
      <c r="B25" s="328" t="s">
        <v>312</v>
      </c>
      <c r="C25" s="329"/>
      <c r="D25" s="329">
        <f t="shared" si="1"/>
        <v>0</v>
      </c>
      <c r="E25" s="329"/>
      <c r="F25" s="332"/>
      <c r="G25" s="332"/>
      <c r="H25" s="332"/>
      <c r="I25" s="332"/>
      <c r="J25" s="332"/>
    </row>
    <row r="26" spans="1:11" s="317" customFormat="1" ht="12" x14ac:dyDescent="0.2">
      <c r="A26" s="323" t="s">
        <v>59</v>
      </c>
      <c r="B26" s="324" t="s">
        <v>313</v>
      </c>
      <c r="C26" s="325"/>
      <c r="D26" s="325">
        <f t="shared" si="1"/>
        <v>0</v>
      </c>
      <c r="E26" s="325">
        <f>E27+E28+E29</f>
        <v>0</v>
      </c>
      <c r="F26" s="325">
        <f t="shared" ref="F26:J26" si="2">F27+F28+F29</f>
        <v>0</v>
      </c>
      <c r="G26" s="325">
        <f t="shared" si="2"/>
        <v>0</v>
      </c>
      <c r="H26" s="325">
        <f t="shared" si="2"/>
        <v>0</v>
      </c>
      <c r="I26" s="325">
        <f t="shared" si="2"/>
        <v>0</v>
      </c>
      <c r="J26" s="326">
        <f t="shared" si="2"/>
        <v>0</v>
      </c>
    </row>
    <row r="27" spans="1:11" s="319" customFormat="1" ht="12" x14ac:dyDescent="0.2">
      <c r="A27" s="327" t="s">
        <v>314</v>
      </c>
      <c r="B27" s="328" t="s">
        <v>315</v>
      </c>
      <c r="C27" s="329"/>
      <c r="D27" s="329">
        <f t="shared" si="1"/>
        <v>0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0">
        <f>'[2]Расчет амортизации'!L16/1000</f>
        <v>0</v>
      </c>
    </row>
    <row r="28" spans="1:11" s="319" customFormat="1" ht="12" x14ac:dyDescent="0.2">
      <c r="A28" s="331" t="s">
        <v>316</v>
      </c>
      <c r="B28" s="328" t="s">
        <v>317</v>
      </c>
      <c r="C28" s="329"/>
      <c r="D28" s="329">
        <f t="shared" si="1"/>
        <v>0</v>
      </c>
      <c r="E28" s="329"/>
      <c r="F28" s="332"/>
      <c r="G28" s="332"/>
      <c r="H28" s="332"/>
      <c r="I28" s="332"/>
      <c r="J28" s="332"/>
    </row>
    <row r="29" spans="1:11" s="319" customFormat="1" ht="12" x14ac:dyDescent="0.2">
      <c r="A29" s="333" t="s">
        <v>318</v>
      </c>
      <c r="B29" s="328" t="s">
        <v>319</v>
      </c>
      <c r="C29" s="329"/>
      <c r="D29" s="329">
        <f t="shared" si="1"/>
        <v>0</v>
      </c>
      <c r="E29" s="329"/>
      <c r="F29" s="332"/>
      <c r="G29" s="332"/>
      <c r="H29" s="332"/>
      <c r="I29" s="332"/>
      <c r="J29" s="332"/>
    </row>
    <row r="30" spans="1:11" s="317" customFormat="1" ht="12" x14ac:dyDescent="0.2">
      <c r="A30" s="323" t="s">
        <v>62</v>
      </c>
      <c r="B30" s="324" t="s">
        <v>123</v>
      </c>
      <c r="C30" s="325"/>
      <c r="D30" s="325">
        <f t="shared" si="1"/>
        <v>0</v>
      </c>
      <c r="E30" s="325"/>
      <c r="F30" s="335"/>
      <c r="G30" s="335"/>
      <c r="H30" s="335"/>
      <c r="I30" s="335"/>
      <c r="J30" s="335"/>
    </row>
    <row r="31" spans="1:11" s="317" customFormat="1" ht="24" x14ac:dyDescent="0.2">
      <c r="A31" s="323" t="s">
        <v>64</v>
      </c>
      <c r="B31" s="324" t="s">
        <v>320</v>
      </c>
      <c r="C31" s="325"/>
      <c r="D31" s="325">
        <f t="shared" si="1"/>
        <v>0</v>
      </c>
      <c r="E31" s="325"/>
      <c r="F31" s="335"/>
      <c r="G31" s="335"/>
      <c r="H31" s="335"/>
      <c r="I31" s="335"/>
      <c r="J31" s="335"/>
    </row>
    <row r="32" spans="1:11" s="317" customFormat="1" ht="12" x14ac:dyDescent="0.2">
      <c r="A32" s="323"/>
      <c r="B32" s="324" t="s">
        <v>29</v>
      </c>
      <c r="C32" s="325"/>
      <c r="D32" s="325">
        <f t="shared" si="1"/>
        <v>3422</v>
      </c>
      <c r="E32" s="325">
        <f>E21+E26+E30+E31</f>
        <v>3422</v>
      </c>
      <c r="F32" s="325">
        <f t="shared" ref="F32:J32" si="3">F21+F26+F30+F31</f>
        <v>0</v>
      </c>
      <c r="G32" s="325">
        <f t="shared" si="3"/>
        <v>0</v>
      </c>
      <c r="H32" s="325">
        <f t="shared" si="3"/>
        <v>0</v>
      </c>
      <c r="I32" s="325">
        <f>I21+I26+I30+I31</f>
        <v>0</v>
      </c>
      <c r="J32" s="326">
        <f t="shared" si="3"/>
        <v>0</v>
      </c>
      <c r="K32" s="336"/>
    </row>
    <row r="33" spans="1:12" ht="25.5" x14ac:dyDescent="0.2">
      <c r="A33" s="337"/>
      <c r="B33" s="338" t="s">
        <v>566</v>
      </c>
      <c r="C33" s="337"/>
      <c r="D33" s="339">
        <f t="shared" si="1"/>
        <v>0</v>
      </c>
      <c r="E33" s="339">
        <f>[2]Кредит!E84</f>
        <v>0</v>
      </c>
      <c r="F33" s="339">
        <f>[2]Кредит!E85</f>
        <v>0</v>
      </c>
      <c r="G33" s="339">
        <f>[2]Кредит!E86</f>
        <v>0</v>
      </c>
      <c r="H33" s="339">
        <f>[2]Кредит!E87</f>
        <v>0</v>
      </c>
      <c r="I33" s="339">
        <f>[2]Кредит!E88</f>
        <v>0</v>
      </c>
      <c r="J33" s="340">
        <f>'[2]Расчет амортизации'!L22/1000</f>
        <v>0</v>
      </c>
      <c r="L33" s="341"/>
    </row>
    <row r="34" spans="1:12" ht="12.75" x14ac:dyDescent="0.2"/>
    <row r="35" spans="1:12" s="342" customFormat="1" ht="73.5" customHeight="1" x14ac:dyDescent="0.2">
      <c r="A35" s="580" t="s">
        <v>567</v>
      </c>
      <c r="B35" s="580"/>
      <c r="C35" s="580"/>
      <c r="D35" s="580"/>
      <c r="E35" s="580"/>
      <c r="F35" s="580"/>
      <c r="G35" s="580"/>
      <c r="H35" s="580"/>
      <c r="I35" s="580"/>
      <c r="J35" s="580"/>
    </row>
    <row r="36" spans="1:12" ht="12.75" x14ac:dyDescent="0.2">
      <c r="D36" s="311" t="s">
        <v>30</v>
      </c>
    </row>
    <row r="37" spans="1:12" ht="12.75" x14ac:dyDescent="0.2"/>
    <row r="38" spans="1:12" ht="12.75" x14ac:dyDescent="0.2"/>
    <row r="39" spans="1:12" ht="12.75" x14ac:dyDescent="0.2">
      <c r="B39" s="311" t="s">
        <v>512</v>
      </c>
    </row>
    <row r="40" spans="1:12" ht="51" x14ac:dyDescent="0.2">
      <c r="B40" s="338" t="s">
        <v>521</v>
      </c>
      <c r="C40" s="337"/>
      <c r="D40" s="343">
        <f>SUM(E40:J40)</f>
        <v>24692.26</v>
      </c>
      <c r="E40" s="344">
        <v>4037.96</v>
      </c>
      <c r="F40" s="344">
        <v>4017.9</v>
      </c>
      <c r="G40" s="344">
        <v>4037.96</v>
      </c>
      <c r="H40" s="344">
        <v>4199.4799999999996</v>
      </c>
      <c r="I40" s="344">
        <v>4199.4799999999996</v>
      </c>
      <c r="J40" s="344">
        <v>4199.4799999999996</v>
      </c>
    </row>
    <row r="41" spans="1:12" ht="12.75" x14ac:dyDescent="0.2">
      <c r="B41" s="345" t="s">
        <v>448</v>
      </c>
      <c r="D41" s="346">
        <f>SUM(E41:J41)</f>
        <v>20925.644067796613</v>
      </c>
      <c r="E41" s="347">
        <f>E40/1.18</f>
        <v>3422</v>
      </c>
      <c r="F41" s="347">
        <f t="shared" ref="F41:J41" si="4">F40/1.18</f>
        <v>3405.0000000000005</v>
      </c>
      <c r="G41" s="347">
        <f t="shared" si="4"/>
        <v>3422</v>
      </c>
      <c r="H41" s="347">
        <f t="shared" si="4"/>
        <v>3558.8813559322034</v>
      </c>
      <c r="I41" s="347">
        <f t="shared" si="4"/>
        <v>3558.8813559322034</v>
      </c>
      <c r="J41" s="347">
        <f t="shared" si="4"/>
        <v>3558.8813559322034</v>
      </c>
    </row>
    <row r="42" spans="1:12" ht="12.75" x14ac:dyDescent="0.2">
      <c r="B42" s="337" t="s">
        <v>527</v>
      </c>
      <c r="C42" s="337"/>
      <c r="D42" s="343">
        <f t="shared" ref="D42:D44" si="5">SUM(E42:J42)</f>
        <v>0</v>
      </c>
      <c r="E42" s="344">
        <f>'[2]2 ИП ТС'!M51</f>
        <v>0</v>
      </c>
      <c r="F42" s="344">
        <f>'[2]2 ИП ТС'!N51</f>
        <v>0</v>
      </c>
      <c r="G42" s="344">
        <f>'[2]2 ИП ТС'!O51</f>
        <v>0</v>
      </c>
      <c r="H42" s="344">
        <f>'[2]2 ИП ТС'!P51</f>
        <v>0</v>
      </c>
      <c r="I42" s="344">
        <f>'[2]2 ИП ТС'!Q51</f>
        <v>0</v>
      </c>
      <c r="J42" s="344">
        <f>'[2]2 ИП ТС'!R51</f>
        <v>0</v>
      </c>
    </row>
    <row r="43" spans="1:12" ht="12.75" x14ac:dyDescent="0.2">
      <c r="B43" s="337" t="s">
        <v>528</v>
      </c>
      <c r="C43" s="337"/>
      <c r="D43" s="346">
        <f t="shared" si="5"/>
        <v>0</v>
      </c>
      <c r="E43" s="347">
        <f>E42/1.18</f>
        <v>0</v>
      </c>
      <c r="F43" s="347">
        <f t="shared" ref="F43:J43" si="6">F42/1.18</f>
        <v>0</v>
      </c>
      <c r="G43" s="347">
        <f t="shared" si="6"/>
        <v>0</v>
      </c>
      <c r="H43" s="347">
        <f t="shared" si="6"/>
        <v>0</v>
      </c>
      <c r="I43" s="347">
        <f t="shared" si="6"/>
        <v>0</v>
      </c>
      <c r="J43" s="347">
        <f t="shared" si="6"/>
        <v>0</v>
      </c>
    </row>
    <row r="44" spans="1:12" ht="12.75" x14ac:dyDescent="0.2">
      <c r="B44" s="337" t="s">
        <v>529</v>
      </c>
      <c r="C44" s="337"/>
      <c r="D44" s="343">
        <f t="shared" si="5"/>
        <v>0</v>
      </c>
      <c r="E44" s="344"/>
      <c r="F44" s="344"/>
      <c r="G44" s="344"/>
      <c r="H44" s="344"/>
      <c r="I44" s="344"/>
      <c r="J44" s="344"/>
    </row>
    <row r="45" spans="1:12" ht="12.75" x14ac:dyDescent="0.2"/>
    <row r="46" spans="1:12" ht="12.75" x14ac:dyDescent="0.2"/>
    <row r="47" spans="1:12" ht="12.75" x14ac:dyDescent="0.2"/>
    <row r="48" spans="1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</sheetData>
  <mergeCells count="18">
    <mergeCell ref="J18:J19"/>
    <mergeCell ref="A35:J35"/>
    <mergeCell ref="C18:C19"/>
    <mergeCell ref="E18:E19"/>
    <mergeCell ref="F18:F19"/>
    <mergeCell ref="G18:G19"/>
    <mergeCell ref="H18:H19"/>
    <mergeCell ref="I18:I19"/>
    <mergeCell ref="A16:A19"/>
    <mergeCell ref="B16:B19"/>
    <mergeCell ref="C16:J16"/>
    <mergeCell ref="D17:D19"/>
    <mergeCell ref="E17:J17"/>
    <mergeCell ref="D9:E9"/>
    <mergeCell ref="A10:J10"/>
    <mergeCell ref="A11:J11"/>
    <mergeCell ref="A12:J12"/>
    <mergeCell ref="A13:J13"/>
  </mergeCells>
  <printOptions horizontalCentered="1"/>
  <pageMargins left="0.62992125984251968" right="0.19685039370078741" top="1.1811023622047245" bottom="0.35433070866141736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view="pageBreakPreview" topLeftCell="A16" zoomScale="150" zoomScaleNormal="100" zoomScaleSheetLayoutView="150" workbookViewId="0">
      <selection activeCell="G4" sqref="G4"/>
    </sheetView>
  </sheetViews>
  <sheetFormatPr defaultColWidth="10.28515625" defaultRowHeight="50.45" customHeight="1" outlineLevelRow="1" outlineLevelCol="1" x14ac:dyDescent="0.2"/>
  <cols>
    <col min="1" max="1" width="6" style="241" customWidth="1"/>
    <col min="2" max="2" width="35" style="241" customWidth="1"/>
    <col min="3" max="3" width="12.85546875" style="241" hidden="1" customWidth="1"/>
    <col min="4" max="4" width="8.7109375" style="241" customWidth="1"/>
    <col min="5" max="5" width="8.140625" style="241" bestFit="1" customWidth="1"/>
    <col min="6" max="9" width="7.85546875" style="241" customWidth="1"/>
    <col min="10" max="10" width="12.28515625" style="241" customWidth="1"/>
    <col min="11" max="11" width="7.85546875" style="241" customWidth="1" outlineLevel="1"/>
    <col min="12" max="12" width="14" style="241" customWidth="1"/>
    <col min="13" max="15" width="7.85546875" style="241" customWidth="1"/>
    <col min="16" max="16384" width="10.28515625" style="241"/>
  </cols>
  <sheetData>
    <row r="1" spans="1:12" ht="11.25" customHeight="1" x14ac:dyDescent="0.2">
      <c r="G1" s="4" t="s">
        <v>571</v>
      </c>
    </row>
    <row r="2" spans="1:12" ht="11.25" customHeight="1" x14ac:dyDescent="0.2">
      <c r="G2" s="4" t="s">
        <v>531</v>
      </c>
    </row>
    <row r="3" spans="1:12" ht="11.25" customHeight="1" x14ac:dyDescent="0.2">
      <c r="G3" s="4" t="s">
        <v>532</v>
      </c>
    </row>
    <row r="4" spans="1:12" ht="11.25" customHeight="1" x14ac:dyDescent="0.2">
      <c r="G4" s="44" t="s">
        <v>580</v>
      </c>
    </row>
    <row r="5" spans="1:12" ht="11.25" customHeight="1" x14ac:dyDescent="0.2">
      <c r="G5" s="3"/>
    </row>
    <row r="6" spans="1:12" ht="11.25" customHeight="1" x14ac:dyDescent="0.2">
      <c r="G6" s="4" t="s">
        <v>572</v>
      </c>
    </row>
    <row r="7" spans="1:12" ht="11.25" customHeight="1" x14ac:dyDescent="0.2">
      <c r="G7" s="4" t="s">
        <v>531</v>
      </c>
    </row>
    <row r="8" spans="1:12" ht="11.25" customHeight="1" x14ac:dyDescent="0.2">
      <c r="G8" s="4" t="s">
        <v>532</v>
      </c>
    </row>
    <row r="9" spans="1:12" ht="11.25" customHeight="1" x14ac:dyDescent="0.2">
      <c r="G9" s="44" t="s">
        <v>540</v>
      </c>
    </row>
    <row r="10" spans="1:12" ht="12.75" x14ac:dyDescent="0.2">
      <c r="D10" s="593"/>
      <c r="E10" s="593"/>
      <c r="J10" s="242"/>
      <c r="K10" s="243"/>
      <c r="L10" s="243"/>
    </row>
    <row r="11" spans="1:12" s="244" customFormat="1" ht="14.25" outlineLevel="1" x14ac:dyDescent="0.2">
      <c r="A11" s="557" t="s">
        <v>297</v>
      </c>
      <c r="B11" s="557"/>
      <c r="C11" s="557"/>
      <c r="D11" s="557"/>
      <c r="E11" s="557"/>
      <c r="F11" s="557"/>
      <c r="G11" s="557"/>
      <c r="H11" s="557"/>
      <c r="I11" s="557"/>
      <c r="J11" s="557"/>
    </row>
    <row r="12" spans="1:12" s="244" customFormat="1" ht="14.25" outlineLevel="1" x14ac:dyDescent="0.2">
      <c r="A12" s="558" t="s">
        <v>298</v>
      </c>
      <c r="B12" s="558"/>
      <c r="C12" s="558"/>
      <c r="D12" s="558"/>
      <c r="E12" s="558"/>
      <c r="F12" s="558"/>
      <c r="G12" s="558"/>
      <c r="H12" s="558"/>
      <c r="I12" s="558"/>
      <c r="J12" s="558"/>
    </row>
    <row r="13" spans="1:12" s="245" customFormat="1" ht="14.25" outlineLevel="1" x14ac:dyDescent="0.2">
      <c r="A13" s="559" t="s">
        <v>299</v>
      </c>
      <c r="B13" s="559"/>
      <c r="C13" s="559"/>
      <c r="D13" s="559"/>
      <c r="E13" s="559"/>
      <c r="F13" s="559"/>
      <c r="G13" s="559"/>
      <c r="H13" s="559"/>
      <c r="I13" s="559"/>
      <c r="J13" s="559"/>
    </row>
    <row r="14" spans="1:12" ht="14.25" outlineLevel="1" x14ac:dyDescent="0.2">
      <c r="A14" s="557" t="s">
        <v>300</v>
      </c>
      <c r="B14" s="557"/>
      <c r="C14" s="557"/>
      <c r="D14" s="557"/>
      <c r="E14" s="557"/>
      <c r="F14" s="557"/>
      <c r="G14" s="557"/>
      <c r="H14" s="557"/>
      <c r="I14" s="557"/>
      <c r="J14" s="557"/>
    </row>
    <row r="15" spans="1:12" ht="12.75" outlineLevel="1" x14ac:dyDescent="0.2"/>
    <row r="16" spans="1:12" ht="12.75" outlineLevel="1" x14ac:dyDescent="0.2">
      <c r="A16" s="246" t="s">
        <v>323</v>
      </c>
    </row>
    <row r="17" spans="1:10" s="247" customFormat="1" ht="35.25" customHeight="1" x14ac:dyDescent="0.2">
      <c r="A17" s="568" t="s">
        <v>0</v>
      </c>
      <c r="B17" s="560" t="s">
        <v>302</v>
      </c>
      <c r="C17" s="571" t="s">
        <v>303</v>
      </c>
      <c r="D17" s="571"/>
      <c r="E17" s="571"/>
      <c r="F17" s="571"/>
      <c r="G17" s="571"/>
      <c r="H17" s="571"/>
      <c r="I17" s="571"/>
      <c r="J17" s="571"/>
    </row>
    <row r="18" spans="1:10" s="249" customFormat="1" ht="21" customHeight="1" x14ac:dyDescent="0.2">
      <c r="A18" s="569"/>
      <c r="B18" s="560"/>
      <c r="C18" s="248" t="s">
        <v>510</v>
      </c>
      <c r="D18" s="572" t="s">
        <v>4</v>
      </c>
      <c r="E18" s="571" t="s">
        <v>304</v>
      </c>
      <c r="F18" s="571"/>
      <c r="G18" s="571"/>
      <c r="H18" s="571"/>
      <c r="I18" s="571"/>
      <c r="J18" s="571"/>
    </row>
    <row r="19" spans="1:10" s="249" customFormat="1" ht="20.45" customHeight="1" x14ac:dyDescent="0.2">
      <c r="A19" s="569"/>
      <c r="B19" s="560"/>
      <c r="C19" s="562" t="s">
        <v>511</v>
      </c>
      <c r="D19" s="573"/>
      <c r="E19" s="564" t="s">
        <v>106</v>
      </c>
      <c r="F19" s="560">
        <v>2019</v>
      </c>
      <c r="G19" s="566">
        <v>2020</v>
      </c>
      <c r="H19" s="566">
        <v>2021</v>
      </c>
      <c r="I19" s="566" t="s">
        <v>143</v>
      </c>
      <c r="J19" s="560">
        <v>2023</v>
      </c>
    </row>
    <row r="20" spans="1:10" s="249" customFormat="1" ht="0.6" customHeight="1" x14ac:dyDescent="0.2">
      <c r="A20" s="570"/>
      <c r="B20" s="560"/>
      <c r="C20" s="563"/>
      <c r="D20" s="574"/>
      <c r="E20" s="565"/>
      <c r="F20" s="560"/>
      <c r="G20" s="566"/>
      <c r="H20" s="566"/>
      <c r="I20" s="566"/>
      <c r="J20" s="560"/>
    </row>
    <row r="21" spans="1:10" s="253" customFormat="1" ht="12" x14ac:dyDescent="0.2">
      <c r="A21" s="250">
        <v>1</v>
      </c>
      <c r="B21" s="250">
        <v>2</v>
      </c>
      <c r="C21" s="250">
        <v>3</v>
      </c>
      <c r="D21" s="250">
        <v>3</v>
      </c>
      <c r="E21" s="250">
        <v>4</v>
      </c>
      <c r="F21" s="284">
        <v>5</v>
      </c>
      <c r="G21" s="284">
        <v>6</v>
      </c>
      <c r="H21" s="284">
        <v>7</v>
      </c>
      <c r="I21" s="284">
        <v>8</v>
      </c>
      <c r="J21" s="284">
        <v>9</v>
      </c>
    </row>
    <row r="22" spans="1:10" s="247" customFormat="1" ht="12" x14ac:dyDescent="0.2">
      <c r="A22" s="254" t="s">
        <v>90</v>
      </c>
      <c r="B22" s="255" t="s">
        <v>122</v>
      </c>
      <c r="C22" s="256"/>
      <c r="D22" s="256">
        <f>SUM(E22:J22)</f>
        <v>18806.872881355932</v>
      </c>
      <c r="E22" s="256">
        <f>SUM(E23:E26)</f>
        <v>861.11864406779671</v>
      </c>
      <c r="F22" s="256">
        <f t="shared" ref="F22:J22" si="0">SUM(F23:F26)</f>
        <v>5712.8728813559319</v>
      </c>
      <c r="G22" s="256">
        <f t="shared" si="0"/>
        <v>4373.8728813559328</v>
      </c>
      <c r="H22" s="256">
        <f t="shared" si="0"/>
        <v>5126.9661016949158</v>
      </c>
      <c r="I22" s="256">
        <f t="shared" si="0"/>
        <v>0</v>
      </c>
      <c r="J22" s="285">
        <f t="shared" si="0"/>
        <v>2732.0423728813562</v>
      </c>
    </row>
    <row r="23" spans="1:10" s="249" customFormat="1" ht="12" x14ac:dyDescent="0.2">
      <c r="A23" s="259" t="s">
        <v>305</v>
      </c>
      <c r="B23" s="260" t="s">
        <v>306</v>
      </c>
      <c r="C23" s="261"/>
      <c r="D23" s="261">
        <f t="shared" ref="D23:D34" si="1">SUM(E23:J23)</f>
        <v>7042.7885156706043</v>
      </c>
      <c r="E23" s="261">
        <f>'[3]Расчет амортизации'!G11/1000</f>
        <v>595.43102233521643</v>
      </c>
      <c r="F23" s="261">
        <f>'[3]Расчет амортизации'!H11/1000</f>
        <v>882.18510561469407</v>
      </c>
      <c r="G23" s="261">
        <f>'[3]Расчет амортизации'!I11/1000</f>
        <v>1637.5669483909801</v>
      </c>
      <c r="H23" s="261">
        <f>'[3]Расчет амортизации'!J11/1000</f>
        <v>1788.9936482591531</v>
      </c>
      <c r="I23" s="261">
        <v>0</v>
      </c>
      <c r="J23" s="286">
        <f>'[3]Расчет амортизации'!L11/1000</f>
        <v>2138.6117910705607</v>
      </c>
    </row>
    <row r="24" spans="1:10" s="249" customFormat="1" ht="12" x14ac:dyDescent="0.2">
      <c r="A24" s="264" t="s">
        <v>307</v>
      </c>
      <c r="B24" s="260" t="s">
        <v>308</v>
      </c>
      <c r="C24" s="261"/>
      <c r="D24" s="261">
        <f>SUM(E24:J24)</f>
        <v>11764.084365685329</v>
      </c>
      <c r="E24" s="261">
        <f>E41-E23</f>
        <v>265.68762173258028</v>
      </c>
      <c r="F24" s="261">
        <f>F41-F23</f>
        <v>4830.6877757412376</v>
      </c>
      <c r="G24" s="261">
        <f t="shared" ref="G24:J24" si="2">G41-G23</f>
        <v>2736.3059329649527</v>
      </c>
      <c r="H24" s="261">
        <f t="shared" si="2"/>
        <v>3337.9724534357629</v>
      </c>
      <c r="I24" s="261">
        <f t="shared" si="2"/>
        <v>0</v>
      </c>
      <c r="J24" s="286">
        <f t="shared" si="2"/>
        <v>593.4305818107955</v>
      </c>
    </row>
    <row r="25" spans="1:10" s="249" customFormat="1" ht="15.6" customHeight="1" outlineLevel="1" x14ac:dyDescent="0.2">
      <c r="A25" s="264" t="s">
        <v>309</v>
      </c>
      <c r="B25" s="260" t="s">
        <v>310</v>
      </c>
      <c r="C25" s="261"/>
      <c r="D25" s="261">
        <f t="shared" si="1"/>
        <v>0</v>
      </c>
      <c r="E25" s="261"/>
      <c r="F25" s="268"/>
      <c r="G25" s="268"/>
      <c r="H25" s="268"/>
      <c r="I25" s="268"/>
      <c r="J25" s="268"/>
    </row>
    <row r="26" spans="1:10" s="249" customFormat="1" ht="15.6" customHeight="1" outlineLevel="1" x14ac:dyDescent="0.2">
      <c r="A26" s="266" t="s">
        <v>311</v>
      </c>
      <c r="B26" s="260" t="s">
        <v>312</v>
      </c>
      <c r="C26" s="261"/>
      <c r="D26" s="261">
        <f t="shared" si="1"/>
        <v>0</v>
      </c>
      <c r="E26" s="261"/>
      <c r="F26" s="268"/>
      <c r="G26" s="268"/>
      <c r="H26" s="268"/>
      <c r="I26" s="268"/>
      <c r="J26" s="268"/>
    </row>
    <row r="27" spans="1:10" s="247" customFormat="1" ht="12" x14ac:dyDescent="0.2">
      <c r="A27" s="254" t="s">
        <v>59</v>
      </c>
      <c r="B27" s="255" t="s">
        <v>313</v>
      </c>
      <c r="C27" s="256"/>
      <c r="D27" s="256">
        <f t="shared" si="1"/>
        <v>0</v>
      </c>
      <c r="E27" s="256">
        <f>SUM(E28:E30)</f>
        <v>0</v>
      </c>
      <c r="F27" s="256">
        <f t="shared" ref="F27:J27" si="3">SUM(F28:F30)</f>
        <v>0</v>
      </c>
      <c r="G27" s="256">
        <f t="shared" si="3"/>
        <v>0</v>
      </c>
      <c r="H27" s="256">
        <f t="shared" si="3"/>
        <v>0</v>
      </c>
      <c r="I27" s="256">
        <f t="shared" si="3"/>
        <v>0</v>
      </c>
      <c r="J27" s="285">
        <f t="shared" si="3"/>
        <v>0</v>
      </c>
    </row>
    <row r="28" spans="1:10" s="249" customFormat="1" ht="12" x14ac:dyDescent="0.2">
      <c r="A28" s="259" t="s">
        <v>314</v>
      </c>
      <c r="B28" s="260" t="s">
        <v>315</v>
      </c>
      <c r="C28" s="261"/>
      <c r="D28" s="261">
        <f t="shared" si="1"/>
        <v>0</v>
      </c>
      <c r="E28" s="261"/>
      <c r="F28" s="268"/>
      <c r="G28" s="268"/>
      <c r="H28" s="268"/>
      <c r="I28" s="268"/>
      <c r="J28" s="268"/>
    </row>
    <row r="29" spans="1:10" s="249" customFormat="1" ht="12" x14ac:dyDescent="0.2">
      <c r="A29" s="264" t="s">
        <v>316</v>
      </c>
      <c r="B29" s="260" t="s">
        <v>317</v>
      </c>
      <c r="C29" s="261"/>
      <c r="D29" s="261">
        <f t="shared" si="1"/>
        <v>0</v>
      </c>
      <c r="E29" s="261"/>
      <c r="F29" s="268"/>
      <c r="G29" s="268"/>
      <c r="H29" s="268"/>
      <c r="I29" s="268"/>
      <c r="J29" s="268"/>
    </row>
    <row r="30" spans="1:10" s="249" customFormat="1" ht="12" x14ac:dyDescent="0.2">
      <c r="A30" s="266" t="s">
        <v>318</v>
      </c>
      <c r="B30" s="260" t="s">
        <v>319</v>
      </c>
      <c r="C30" s="261"/>
      <c r="D30" s="261">
        <f t="shared" si="1"/>
        <v>0</v>
      </c>
      <c r="E30" s="261"/>
      <c r="F30" s="268"/>
      <c r="G30" s="268"/>
      <c r="H30" s="268"/>
      <c r="I30" s="268"/>
      <c r="J30" s="268"/>
    </row>
    <row r="31" spans="1:10" s="247" customFormat="1" ht="12" x14ac:dyDescent="0.2">
      <c r="A31" s="254" t="s">
        <v>62</v>
      </c>
      <c r="B31" s="255" t="s">
        <v>123</v>
      </c>
      <c r="C31" s="256"/>
      <c r="D31" s="256">
        <f t="shared" si="1"/>
        <v>0</v>
      </c>
      <c r="E31" s="256"/>
      <c r="F31" s="282"/>
      <c r="G31" s="282"/>
      <c r="H31" s="282"/>
      <c r="I31" s="282"/>
      <c r="J31" s="282"/>
    </row>
    <row r="32" spans="1:10" s="247" customFormat="1" ht="24" x14ac:dyDescent="0.2">
      <c r="A32" s="254" t="s">
        <v>64</v>
      </c>
      <c r="B32" s="255" t="s">
        <v>320</v>
      </c>
      <c r="C32" s="256"/>
      <c r="D32" s="256">
        <f t="shared" si="1"/>
        <v>0</v>
      </c>
      <c r="E32" s="256"/>
      <c r="F32" s="282"/>
      <c r="G32" s="282"/>
      <c r="H32" s="282"/>
      <c r="I32" s="282"/>
      <c r="J32" s="282"/>
    </row>
    <row r="33" spans="1:12" s="247" customFormat="1" ht="12" x14ac:dyDescent="0.2">
      <c r="A33" s="254"/>
      <c r="B33" s="255" t="s">
        <v>29</v>
      </c>
      <c r="C33" s="256"/>
      <c r="D33" s="256">
        <f t="shared" si="1"/>
        <v>18806.872881355932</v>
      </c>
      <c r="E33" s="256">
        <f>E22+E27+E31+E32</f>
        <v>861.11864406779671</v>
      </c>
      <c r="F33" s="256">
        <f t="shared" ref="F33:J33" si="4">F22+F27+F31+F32</f>
        <v>5712.8728813559319</v>
      </c>
      <c r="G33" s="256">
        <f t="shared" si="4"/>
        <v>4373.8728813559328</v>
      </c>
      <c r="H33" s="256">
        <f t="shared" si="4"/>
        <v>5126.9661016949158</v>
      </c>
      <c r="I33" s="256">
        <f t="shared" si="4"/>
        <v>0</v>
      </c>
      <c r="J33" s="285">
        <f t="shared" si="4"/>
        <v>2732.0423728813562</v>
      </c>
      <c r="K33" s="271">
        <f>'[3]2 ИП ТС'!AA53</f>
        <v>18806.872933133414</v>
      </c>
      <c r="L33" s="247" t="b">
        <f>K33=D33</f>
        <v>0</v>
      </c>
    </row>
    <row r="34" spans="1:12" ht="27" customHeight="1" x14ac:dyDescent="0.2">
      <c r="A34" s="272"/>
      <c r="B34" s="279" t="s">
        <v>520</v>
      </c>
      <c r="C34" s="272"/>
      <c r="D34" s="261">
        <f t="shared" si="1"/>
        <v>1316.5348552378923</v>
      </c>
      <c r="E34" s="261">
        <f>[3]Кредит!E83</f>
        <v>57.156750000000017</v>
      </c>
      <c r="F34" s="261">
        <f>[3]Кредит!E84</f>
        <v>405.52470250780766</v>
      </c>
      <c r="G34" s="261">
        <f>[3]Кредит!E85</f>
        <v>310.47664491758451</v>
      </c>
      <c r="H34" s="261">
        <f>[3]Кредит!E86</f>
        <v>354.48164062500007</v>
      </c>
      <c r="I34" s="261">
        <f>[3]Кредит!E87</f>
        <v>0</v>
      </c>
      <c r="J34" s="286">
        <f>[3]Кредит!E88</f>
        <v>188.89511718750003</v>
      </c>
    </row>
    <row r="35" spans="1:12" s="276" customFormat="1" ht="93" customHeight="1" x14ac:dyDescent="0.2">
      <c r="A35" s="561"/>
      <c r="B35" s="561"/>
      <c r="C35" s="561"/>
      <c r="D35" s="561"/>
      <c r="E35" s="561"/>
      <c r="F35" s="561"/>
      <c r="G35" s="561"/>
      <c r="H35" s="561"/>
      <c r="I35" s="561"/>
      <c r="J35" s="561"/>
    </row>
    <row r="36" spans="1:12" ht="12.75" x14ac:dyDescent="0.2">
      <c r="D36" s="242"/>
    </row>
    <row r="37" spans="1:12" ht="12.75" x14ac:dyDescent="0.2"/>
    <row r="38" spans="1:12" ht="12.75" x14ac:dyDescent="0.2"/>
    <row r="39" spans="1:12" ht="12.75" x14ac:dyDescent="0.2">
      <c r="B39" s="241" t="s">
        <v>512</v>
      </c>
    </row>
    <row r="40" spans="1:12" ht="25.5" x14ac:dyDescent="0.2">
      <c r="B40" s="279" t="s">
        <v>521</v>
      </c>
      <c r="C40" s="272"/>
      <c r="D40" s="287">
        <f>SUM(E40:J40)</f>
        <v>22192.11</v>
      </c>
      <c r="E40" s="287">
        <v>1016.12</v>
      </c>
      <c r="F40" s="287">
        <v>6741.19</v>
      </c>
      <c r="G40" s="287">
        <v>5161.17</v>
      </c>
      <c r="H40" s="287">
        <v>6049.8200000000006</v>
      </c>
      <c r="I40" s="287">
        <v>0</v>
      </c>
      <c r="J40" s="287">
        <v>3223.81</v>
      </c>
    </row>
    <row r="41" spans="1:12" ht="12.75" x14ac:dyDescent="0.2">
      <c r="B41" s="279" t="s">
        <v>448</v>
      </c>
      <c r="D41" s="287">
        <f>SUM(E41:J41)</f>
        <v>18806.872881355932</v>
      </c>
      <c r="E41" s="278">
        <f>E40/1.18</f>
        <v>861.11864406779671</v>
      </c>
      <c r="F41" s="278">
        <f t="shared" ref="F41:J41" si="5">F40/1.18</f>
        <v>5712.8728813559319</v>
      </c>
      <c r="G41" s="278">
        <f t="shared" si="5"/>
        <v>4373.8728813559328</v>
      </c>
      <c r="H41" s="278">
        <f t="shared" si="5"/>
        <v>5126.9661016949158</v>
      </c>
      <c r="I41" s="278">
        <f t="shared" si="5"/>
        <v>0</v>
      </c>
      <c r="J41" s="278">
        <f t="shared" si="5"/>
        <v>2732.0423728813562</v>
      </c>
    </row>
    <row r="42" spans="1:12" ht="12.75" x14ac:dyDescent="0.2">
      <c r="B42" s="272" t="s">
        <v>522</v>
      </c>
    </row>
    <row r="43" spans="1:12" ht="12.75" x14ac:dyDescent="0.2">
      <c r="B43" s="279" t="s">
        <v>448</v>
      </c>
    </row>
    <row r="44" spans="1:12" ht="12.75" x14ac:dyDescent="0.2">
      <c r="B44" s="272" t="s">
        <v>523</v>
      </c>
    </row>
    <row r="45" spans="1:12" ht="12.75" x14ac:dyDescent="0.2">
      <c r="B45" s="272" t="s">
        <v>524</v>
      </c>
    </row>
    <row r="46" spans="1:12" ht="12.75" x14ac:dyDescent="0.2"/>
    <row r="47" spans="1:12" ht="12.75" x14ac:dyDescent="0.2"/>
    <row r="48" spans="1:12" ht="12.75" x14ac:dyDescent="0.2"/>
    <row r="49" ht="12.75" x14ac:dyDescent="0.2"/>
    <row r="50" ht="15.6" hidden="1" customHeight="1" x14ac:dyDescent="0.2"/>
    <row r="51" ht="15.6" hidden="1" customHeight="1" x14ac:dyDescent="0.2"/>
    <row r="52" ht="15.6" hidden="1" customHeight="1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</sheetData>
  <mergeCells count="18">
    <mergeCell ref="J19:J20"/>
    <mergeCell ref="A35:J35"/>
    <mergeCell ref="C19:C20"/>
    <mergeCell ref="E19:E20"/>
    <mergeCell ref="F19:F20"/>
    <mergeCell ref="G19:G20"/>
    <mergeCell ref="H19:H20"/>
    <mergeCell ref="I19:I20"/>
    <mergeCell ref="A17:A20"/>
    <mergeCell ref="B17:B20"/>
    <mergeCell ref="C17:J17"/>
    <mergeCell ref="D18:D20"/>
    <mergeCell ref="E18:J18"/>
    <mergeCell ref="D10:E10"/>
    <mergeCell ref="A11:J11"/>
    <mergeCell ref="A12:J12"/>
    <mergeCell ref="A13:J13"/>
    <mergeCell ref="A14:J14"/>
  </mergeCells>
  <printOptions horizontalCentered="1"/>
  <pageMargins left="0.19685039370078741" right="0.19685039370078741" top="1.1023622047244095" bottom="0.31496062992125984" header="0.31496062992125984" footer="0.19685039370078741"/>
  <pageSetup paperSize="9" orientation="portrait" r:id="rId1"/>
  <rowBreaks count="1" manualBreakCount="1">
    <brk id="4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view="pageBreakPreview" zoomScaleNormal="100" zoomScaleSheetLayoutView="100" workbookViewId="0">
      <selection activeCell="J27" sqref="J27"/>
    </sheetView>
  </sheetViews>
  <sheetFormatPr defaultColWidth="10.28515625" defaultRowHeight="50.45" customHeight="1" outlineLevelRow="1" outlineLevelCol="1" x14ac:dyDescent="0.2"/>
  <cols>
    <col min="1" max="1" width="6" style="241" customWidth="1"/>
    <col min="2" max="2" width="31.42578125" style="241" customWidth="1"/>
    <col min="3" max="3" width="12.85546875" style="241" hidden="1" customWidth="1"/>
    <col min="4" max="4" width="8.28515625" style="241" customWidth="1"/>
    <col min="5" max="6" width="7.85546875" style="241" customWidth="1"/>
    <col min="7" max="7" width="8.5703125" style="241" customWidth="1"/>
    <col min="8" max="8" width="7.85546875" style="241" customWidth="1"/>
    <col min="9" max="9" width="8" style="241" customWidth="1"/>
    <col min="10" max="10" width="11.42578125" style="241" customWidth="1"/>
    <col min="11" max="11" width="10.7109375" style="241" customWidth="1" outlineLevel="1"/>
    <col min="12" max="15" width="7.85546875" style="241" customWidth="1"/>
    <col min="16" max="16384" width="10.28515625" style="241"/>
  </cols>
  <sheetData>
    <row r="1" spans="1:13" ht="11.25" customHeight="1" x14ac:dyDescent="0.2">
      <c r="G1" s="4" t="s">
        <v>573</v>
      </c>
    </row>
    <row r="2" spans="1:13" ht="11.25" customHeight="1" x14ac:dyDescent="0.2">
      <c r="G2" s="4" t="s">
        <v>531</v>
      </c>
    </row>
    <row r="3" spans="1:13" ht="11.25" customHeight="1" x14ac:dyDescent="0.2">
      <c r="G3" s="4" t="s">
        <v>532</v>
      </c>
    </row>
    <row r="4" spans="1:13" ht="11.25" customHeight="1" x14ac:dyDescent="0.2">
      <c r="G4" s="44" t="s">
        <v>580</v>
      </c>
    </row>
    <row r="5" spans="1:13" ht="12.75" x14ac:dyDescent="0.2">
      <c r="D5" s="593"/>
      <c r="E5" s="593"/>
      <c r="J5" s="242"/>
      <c r="K5" s="243"/>
      <c r="L5" s="243"/>
    </row>
    <row r="6" spans="1:13" ht="12.75" x14ac:dyDescent="0.2">
      <c r="D6" s="242"/>
      <c r="E6" s="242"/>
      <c r="G6" s="4" t="s">
        <v>574</v>
      </c>
      <c r="K6" s="242"/>
      <c r="L6" s="243"/>
      <c r="M6" s="243"/>
    </row>
    <row r="7" spans="1:13" ht="12.75" x14ac:dyDescent="0.2">
      <c r="D7" s="242"/>
      <c r="E7" s="242"/>
      <c r="G7" s="4" t="s">
        <v>531</v>
      </c>
      <c r="K7" s="242"/>
      <c r="L7" s="243"/>
      <c r="M7" s="243"/>
    </row>
    <row r="8" spans="1:13" ht="12.75" x14ac:dyDescent="0.2">
      <c r="D8" s="242"/>
      <c r="E8" s="242"/>
      <c r="G8" s="4" t="s">
        <v>532</v>
      </c>
      <c r="K8" s="242"/>
      <c r="L8" s="243"/>
      <c r="M8" s="243"/>
    </row>
    <row r="9" spans="1:13" ht="12.75" x14ac:dyDescent="0.2">
      <c r="D9" s="242"/>
      <c r="E9" s="242"/>
      <c r="G9" s="44" t="s">
        <v>540</v>
      </c>
      <c r="K9" s="242"/>
      <c r="L9" s="243"/>
      <c r="M9" s="243"/>
    </row>
    <row r="10" spans="1:13" ht="12.75" x14ac:dyDescent="0.2">
      <c r="D10" s="242"/>
      <c r="E10" s="242"/>
      <c r="J10" s="242"/>
      <c r="K10" s="243"/>
      <c r="L10" s="243"/>
    </row>
    <row r="11" spans="1:13" s="244" customFormat="1" ht="14.25" outlineLevel="1" x14ac:dyDescent="0.2">
      <c r="A11" s="557" t="s">
        <v>297</v>
      </c>
      <c r="B11" s="557"/>
      <c r="C11" s="557"/>
      <c r="D11" s="557"/>
      <c r="E11" s="557"/>
      <c r="F11" s="557"/>
      <c r="G11" s="557"/>
      <c r="H11" s="557"/>
      <c r="I11" s="557"/>
      <c r="J11" s="557"/>
    </row>
    <row r="12" spans="1:13" s="244" customFormat="1" ht="14.25" outlineLevel="1" x14ac:dyDescent="0.2">
      <c r="A12" s="558" t="s">
        <v>298</v>
      </c>
      <c r="B12" s="558"/>
      <c r="C12" s="558"/>
      <c r="D12" s="558"/>
      <c r="E12" s="558"/>
      <c r="F12" s="558"/>
      <c r="G12" s="558"/>
      <c r="H12" s="558"/>
      <c r="I12" s="558"/>
      <c r="J12" s="558"/>
    </row>
    <row r="13" spans="1:13" s="245" customFormat="1" ht="14.25" outlineLevel="1" x14ac:dyDescent="0.2">
      <c r="A13" s="559" t="s">
        <v>299</v>
      </c>
      <c r="B13" s="559"/>
      <c r="C13" s="559"/>
      <c r="D13" s="559"/>
      <c r="E13" s="559"/>
      <c r="F13" s="559"/>
      <c r="G13" s="559"/>
      <c r="H13" s="559"/>
      <c r="I13" s="559"/>
      <c r="J13" s="559"/>
    </row>
    <row r="14" spans="1:13" ht="14.25" outlineLevel="1" x14ac:dyDescent="0.2">
      <c r="A14" s="557" t="s">
        <v>300</v>
      </c>
      <c r="B14" s="557"/>
      <c r="C14" s="557"/>
      <c r="D14" s="557"/>
      <c r="E14" s="557"/>
      <c r="F14" s="557"/>
      <c r="G14" s="557"/>
      <c r="H14" s="557"/>
      <c r="I14" s="557"/>
      <c r="J14" s="557"/>
    </row>
    <row r="15" spans="1:13" ht="12.75" outlineLevel="1" x14ac:dyDescent="0.2"/>
    <row r="16" spans="1:13" ht="12.75" x14ac:dyDescent="0.2">
      <c r="A16" s="288" t="s">
        <v>324</v>
      </c>
    </row>
    <row r="17" spans="1:10" s="247" customFormat="1" ht="28.9" customHeight="1" x14ac:dyDescent="0.2">
      <c r="A17" s="568" t="s">
        <v>0</v>
      </c>
      <c r="B17" s="560" t="s">
        <v>302</v>
      </c>
      <c r="C17" s="571" t="s">
        <v>303</v>
      </c>
      <c r="D17" s="571"/>
      <c r="E17" s="571"/>
      <c r="F17" s="571"/>
      <c r="G17" s="571"/>
      <c r="H17" s="571"/>
      <c r="I17" s="571"/>
      <c r="J17" s="571"/>
    </row>
    <row r="18" spans="1:10" s="249" customFormat="1" ht="21" customHeight="1" x14ac:dyDescent="0.2">
      <c r="A18" s="569"/>
      <c r="B18" s="560"/>
      <c r="C18" s="248" t="s">
        <v>510</v>
      </c>
      <c r="D18" s="572" t="s">
        <v>4</v>
      </c>
      <c r="E18" s="571" t="s">
        <v>304</v>
      </c>
      <c r="F18" s="571"/>
      <c r="G18" s="571"/>
      <c r="H18" s="571"/>
      <c r="I18" s="571"/>
      <c r="J18" s="571"/>
    </row>
    <row r="19" spans="1:10" s="249" customFormat="1" ht="9" customHeight="1" x14ac:dyDescent="0.2">
      <c r="A19" s="569"/>
      <c r="B19" s="560"/>
      <c r="C19" s="562" t="s">
        <v>511</v>
      </c>
      <c r="D19" s="573"/>
      <c r="E19" s="564" t="s">
        <v>106</v>
      </c>
      <c r="F19" s="560">
        <v>2019</v>
      </c>
      <c r="G19" s="566">
        <v>2020</v>
      </c>
      <c r="H19" s="566">
        <v>2021</v>
      </c>
      <c r="I19" s="566" t="s">
        <v>143</v>
      </c>
      <c r="J19" s="560">
        <v>2023</v>
      </c>
    </row>
    <row r="20" spans="1:10" s="249" customFormat="1" ht="5.45" customHeight="1" x14ac:dyDescent="0.2">
      <c r="A20" s="570"/>
      <c r="B20" s="560"/>
      <c r="C20" s="563"/>
      <c r="D20" s="574"/>
      <c r="E20" s="565"/>
      <c r="F20" s="560"/>
      <c r="G20" s="566"/>
      <c r="H20" s="566"/>
      <c r="I20" s="566"/>
      <c r="J20" s="560"/>
    </row>
    <row r="21" spans="1:10" s="253" customFormat="1" ht="12" x14ac:dyDescent="0.2">
      <c r="A21" s="250">
        <v>1</v>
      </c>
      <c r="B21" s="250">
        <v>2</v>
      </c>
      <c r="C21" s="250">
        <v>3</v>
      </c>
      <c r="D21" s="250">
        <v>3</v>
      </c>
      <c r="E21" s="250">
        <v>4</v>
      </c>
      <c r="F21" s="284">
        <v>5</v>
      </c>
      <c r="G21" s="284">
        <v>6</v>
      </c>
      <c r="H21" s="284">
        <v>7</v>
      </c>
      <c r="I21" s="284">
        <v>8</v>
      </c>
      <c r="J21" s="284">
        <v>9</v>
      </c>
    </row>
    <row r="22" spans="1:10" s="247" customFormat="1" ht="12" x14ac:dyDescent="0.2">
      <c r="A22" s="254" t="s">
        <v>90</v>
      </c>
      <c r="B22" s="255" t="s">
        <v>122</v>
      </c>
      <c r="C22" s="256"/>
      <c r="D22" s="256">
        <f>SUM(E22:J22)</f>
        <v>12254.948253743571</v>
      </c>
      <c r="E22" s="256">
        <f>SUM(E23:E26)</f>
        <v>0</v>
      </c>
      <c r="F22" s="256">
        <f>SUM(F23:F26)</f>
        <v>3018.3721754811368</v>
      </c>
      <c r="G22" s="256">
        <f t="shared" ref="G22:J22" si="0">SUM(G23:G26)</f>
        <v>3956.5566727147243</v>
      </c>
      <c r="H22" s="256">
        <f t="shared" si="0"/>
        <v>4019.3194055477088</v>
      </c>
      <c r="I22" s="256">
        <f t="shared" si="0"/>
        <v>1260.7</v>
      </c>
      <c r="J22" s="285">
        <f t="shared" si="0"/>
        <v>0</v>
      </c>
    </row>
    <row r="23" spans="1:10" s="249" customFormat="1" ht="12" x14ac:dyDescent="0.2">
      <c r="A23" s="259" t="s">
        <v>305</v>
      </c>
      <c r="B23" s="260" t="s">
        <v>306</v>
      </c>
      <c r="C23" s="261"/>
      <c r="D23" s="261">
        <f t="shared" ref="D23:D34" si="1">SUM(E23:J23)</f>
        <v>3251.273731800492</v>
      </c>
      <c r="E23" s="261"/>
      <c r="F23" s="268">
        <f>'[4]Расчет амортизации'!H11/1000</f>
        <v>382.47094564164655</v>
      </c>
      <c r="G23" s="268">
        <f>'[4]Расчет амортизации'!I11/1000</f>
        <v>428.61252984277934</v>
      </c>
      <c r="H23" s="268">
        <f>'[4]Расчет амортизации'!J11/1000</f>
        <v>1179.4902563160661</v>
      </c>
      <c r="I23" s="268">
        <v>1260.7</v>
      </c>
      <c r="J23" s="268"/>
    </row>
    <row r="24" spans="1:10" s="249" customFormat="1" ht="12" x14ac:dyDescent="0.2">
      <c r="A24" s="264" t="s">
        <v>307</v>
      </c>
      <c r="B24" s="260" t="s">
        <v>308</v>
      </c>
      <c r="C24" s="261"/>
      <c r="D24" s="261">
        <f t="shared" si="1"/>
        <v>9003.6745219430777</v>
      </c>
      <c r="E24" s="261"/>
      <c r="F24" s="268">
        <f>F41</f>
        <v>2635.90122983949</v>
      </c>
      <c r="G24" s="268">
        <f>G41</f>
        <v>3527.9441428719451</v>
      </c>
      <c r="H24" s="268">
        <v>2839.8291492316425</v>
      </c>
      <c r="I24" s="268"/>
      <c r="J24" s="268"/>
    </row>
    <row r="25" spans="1:10" s="249" customFormat="1" ht="25.9" customHeight="1" outlineLevel="1" x14ac:dyDescent="0.2">
      <c r="A25" s="264" t="s">
        <v>309</v>
      </c>
      <c r="B25" s="260" t="s">
        <v>310</v>
      </c>
      <c r="C25" s="261"/>
      <c r="D25" s="261">
        <f t="shared" si="1"/>
        <v>0</v>
      </c>
      <c r="E25" s="261"/>
      <c r="F25" s="268"/>
      <c r="G25" s="268"/>
      <c r="H25" s="268"/>
      <c r="I25" s="268"/>
      <c r="J25" s="268"/>
    </row>
    <row r="26" spans="1:10" s="249" customFormat="1" ht="15.6" customHeight="1" outlineLevel="1" x14ac:dyDescent="0.2">
      <c r="A26" s="266" t="s">
        <v>311</v>
      </c>
      <c r="B26" s="260" t="s">
        <v>312</v>
      </c>
      <c r="C26" s="261"/>
      <c r="D26" s="261">
        <f t="shared" si="1"/>
        <v>0</v>
      </c>
      <c r="E26" s="261"/>
      <c r="F26" s="268"/>
      <c r="G26" s="268"/>
      <c r="H26" s="268"/>
      <c r="I26" s="268"/>
      <c r="J26" s="268"/>
    </row>
    <row r="27" spans="1:10" s="247" customFormat="1" ht="12" x14ac:dyDescent="0.2">
      <c r="A27" s="254" t="s">
        <v>59</v>
      </c>
      <c r="B27" s="255" t="s">
        <v>313</v>
      </c>
      <c r="C27" s="256"/>
      <c r="D27" s="256">
        <f t="shared" si="1"/>
        <v>0</v>
      </c>
      <c r="E27" s="256">
        <f>SUM(E28:E30)</f>
        <v>0</v>
      </c>
      <c r="F27" s="256">
        <f t="shared" ref="F27:J27" si="2">SUM(F28:F30)</f>
        <v>0</v>
      </c>
      <c r="G27" s="256">
        <f t="shared" si="2"/>
        <v>0</v>
      </c>
      <c r="H27" s="256">
        <f t="shared" si="2"/>
        <v>0</v>
      </c>
      <c r="I27" s="256">
        <f t="shared" si="2"/>
        <v>0</v>
      </c>
      <c r="J27" s="285">
        <f t="shared" si="2"/>
        <v>0</v>
      </c>
    </row>
    <row r="28" spans="1:10" s="249" customFormat="1" ht="12" x14ac:dyDescent="0.2">
      <c r="A28" s="259" t="s">
        <v>314</v>
      </c>
      <c r="B28" s="260" t="s">
        <v>315</v>
      </c>
      <c r="C28" s="261"/>
      <c r="D28" s="261">
        <f t="shared" si="1"/>
        <v>0</v>
      </c>
      <c r="E28" s="261"/>
      <c r="F28" s="268"/>
      <c r="G28" s="268"/>
      <c r="H28" s="268"/>
      <c r="I28" s="268"/>
      <c r="J28" s="268"/>
    </row>
    <row r="29" spans="1:10" s="249" customFormat="1" ht="12" x14ac:dyDescent="0.2">
      <c r="A29" s="264" t="s">
        <v>316</v>
      </c>
      <c r="B29" s="260" t="s">
        <v>317</v>
      </c>
      <c r="C29" s="261"/>
      <c r="D29" s="261">
        <f t="shared" si="1"/>
        <v>0</v>
      </c>
      <c r="E29" s="261"/>
      <c r="F29" s="268"/>
      <c r="G29" s="268"/>
      <c r="H29" s="268"/>
      <c r="I29" s="268"/>
      <c r="J29" s="268"/>
    </row>
    <row r="30" spans="1:10" s="249" customFormat="1" ht="43.5" customHeight="1" x14ac:dyDescent="0.2">
      <c r="A30" s="266" t="s">
        <v>318</v>
      </c>
      <c r="B30" s="260" t="s">
        <v>319</v>
      </c>
      <c r="C30" s="261"/>
      <c r="D30" s="261">
        <f t="shared" si="1"/>
        <v>0</v>
      </c>
      <c r="E30" s="261"/>
      <c r="F30" s="268"/>
      <c r="G30" s="268"/>
      <c r="H30" s="268"/>
      <c r="I30" s="268"/>
      <c r="J30" s="268"/>
    </row>
    <row r="31" spans="1:10" s="247" customFormat="1" ht="12" x14ac:dyDescent="0.2">
      <c r="A31" s="254" t="s">
        <v>62</v>
      </c>
      <c r="B31" s="255" t="s">
        <v>123</v>
      </c>
      <c r="C31" s="256"/>
      <c r="D31" s="256">
        <f t="shared" si="1"/>
        <v>0</v>
      </c>
      <c r="E31" s="256"/>
      <c r="F31" s="282"/>
      <c r="G31" s="282"/>
      <c r="H31" s="282"/>
      <c r="I31" s="282"/>
      <c r="J31" s="282"/>
    </row>
    <row r="32" spans="1:10" s="247" customFormat="1" ht="24" x14ac:dyDescent="0.2">
      <c r="A32" s="254" t="s">
        <v>64</v>
      </c>
      <c r="B32" s="255" t="s">
        <v>320</v>
      </c>
      <c r="C32" s="256"/>
      <c r="D32" s="256">
        <f t="shared" si="1"/>
        <v>0</v>
      </c>
      <c r="E32" s="256"/>
      <c r="F32" s="282"/>
      <c r="G32" s="282"/>
      <c r="H32" s="282"/>
      <c r="I32" s="282"/>
      <c r="J32" s="282"/>
    </row>
    <row r="33" spans="1:12" s="247" customFormat="1" ht="12" x14ac:dyDescent="0.2">
      <c r="A33" s="254"/>
      <c r="B33" s="255" t="s">
        <v>29</v>
      </c>
      <c r="C33" s="256"/>
      <c r="D33" s="256">
        <f t="shared" si="1"/>
        <v>12254.948253743571</v>
      </c>
      <c r="E33" s="256">
        <f>E22+E27+E31+E32</f>
        <v>0</v>
      </c>
      <c r="F33" s="256">
        <f>F22+F27+F31+F32</f>
        <v>3018.3721754811368</v>
      </c>
      <c r="G33" s="256">
        <f t="shared" ref="G33:J33" si="3">G22+G27+G31+G32</f>
        <v>3956.5566727147243</v>
      </c>
      <c r="H33" s="256">
        <f t="shared" si="3"/>
        <v>4019.3194055477088</v>
      </c>
      <c r="I33" s="256">
        <f t="shared" si="3"/>
        <v>1260.7</v>
      </c>
      <c r="J33" s="285">
        <f t="shared" si="3"/>
        <v>0</v>
      </c>
      <c r="L33" s="271">
        <f>D33-'[4]2 ИП ТС'!AA52</f>
        <v>293.33805080448656</v>
      </c>
    </row>
    <row r="34" spans="1:12" ht="12.75" x14ac:dyDescent="0.2">
      <c r="A34" s="272"/>
      <c r="B34" s="289" t="s">
        <v>525</v>
      </c>
      <c r="C34" s="272"/>
      <c r="D34" s="287">
        <f t="shared" si="1"/>
        <v>336.97021187124579</v>
      </c>
      <c r="E34" s="287">
        <f>[4]Кредит!E84</f>
        <v>0</v>
      </c>
      <c r="F34" s="287">
        <f>[4]Кредит!E85</f>
        <v>0</v>
      </c>
      <c r="G34" s="287">
        <f>[4]Кредит!E86</f>
        <v>134.41572289714736</v>
      </c>
      <c r="H34" s="287">
        <f>[4]Кредит!E87</f>
        <v>132.99511707895638</v>
      </c>
      <c r="I34" s="287">
        <f>[4]Кредит!E88</f>
        <v>69.559371895142093</v>
      </c>
      <c r="J34" s="287">
        <v>0</v>
      </c>
    </row>
    <row r="35" spans="1:12" s="276" customFormat="1" ht="101.25" customHeight="1" x14ac:dyDescent="0.2">
      <c r="A35" s="561"/>
      <c r="B35" s="561"/>
      <c r="C35" s="561"/>
      <c r="D35" s="561"/>
      <c r="E35" s="561"/>
      <c r="F35" s="561"/>
      <c r="G35" s="561"/>
      <c r="H35" s="561"/>
      <c r="I35" s="561"/>
      <c r="J35" s="561"/>
    </row>
    <row r="36" spans="1:12" ht="12.75" x14ac:dyDescent="0.2">
      <c r="D36" s="277"/>
      <c r="E36" s="242"/>
    </row>
    <row r="37" spans="1:12" ht="12.75" x14ac:dyDescent="0.2"/>
    <row r="38" spans="1:12" ht="12.75" x14ac:dyDescent="0.2"/>
    <row r="39" spans="1:12" ht="12.75" hidden="1" x14ac:dyDescent="0.2">
      <c r="B39" s="241" t="s">
        <v>512</v>
      </c>
    </row>
    <row r="40" spans="1:12" ht="12.75" hidden="1" x14ac:dyDescent="0.2">
      <c r="B40" s="279"/>
      <c r="C40" s="272"/>
      <c r="D40" s="268"/>
      <c r="E40" s="278"/>
      <c r="F40" s="278"/>
      <c r="G40" s="278"/>
      <c r="H40" s="278"/>
      <c r="I40" s="278"/>
      <c r="J40" s="278"/>
    </row>
    <row r="41" spans="1:12" ht="12.75" hidden="1" x14ac:dyDescent="0.2">
      <c r="B41" s="272" t="s">
        <v>526</v>
      </c>
      <c r="C41" s="272"/>
      <c r="D41" s="268">
        <f>SUM(E41:J41)</f>
        <v>10126.557241068309</v>
      </c>
      <c r="E41" s="278"/>
      <c r="F41" s="278">
        <v>2635.90122983949</v>
      </c>
      <c r="G41" s="278">
        <f>[4]Смета!K134</f>
        <v>3527.9441428719451</v>
      </c>
      <c r="H41" s="278">
        <f>[4]Смета!L135</f>
        <v>3962.7118683568733</v>
      </c>
      <c r="I41" s="278">
        <v>0</v>
      </c>
      <c r="J41" s="278">
        <v>0</v>
      </c>
    </row>
    <row r="42" spans="1:12" ht="12.75" hidden="1" x14ac:dyDescent="0.2">
      <c r="B42" s="272" t="s">
        <v>527</v>
      </c>
      <c r="C42" s="272"/>
      <c r="D42" s="268">
        <f t="shared" ref="D42:D43" si="4">SUM(E42:J42)</f>
        <v>11387.000030666539</v>
      </c>
      <c r="E42" s="268">
        <f>'[4]2 ИП ТС'!M52</f>
        <v>0</v>
      </c>
      <c r="F42" s="268">
        <f>'[4]2 ИП ТС'!N52</f>
        <v>0</v>
      </c>
      <c r="G42" s="268">
        <f>'[4]2 ИП ТС'!O52</f>
        <v>6711.0000260054276</v>
      </c>
      <c r="H42" s="268">
        <f>'[4]2 ИП ТС'!P52</f>
        <v>4676.0000046611103</v>
      </c>
      <c r="I42" s="268"/>
      <c r="J42" s="268">
        <f>'[4]2 ИП ТС'!R52</f>
        <v>0</v>
      </c>
    </row>
    <row r="43" spans="1:12" ht="12.75" hidden="1" x14ac:dyDescent="0.2">
      <c r="B43" s="272" t="s">
        <v>528</v>
      </c>
      <c r="C43" s="272"/>
      <c r="D43" s="268">
        <f t="shared" si="4"/>
        <v>9650.0000259885928</v>
      </c>
      <c r="E43" s="268">
        <f>E42/1.18</f>
        <v>0</v>
      </c>
      <c r="F43" s="268">
        <f t="shared" ref="F43:J43" si="5">F42/1.18</f>
        <v>0</v>
      </c>
      <c r="G43" s="268">
        <f t="shared" si="5"/>
        <v>5687.2881576317186</v>
      </c>
      <c r="H43" s="268">
        <f t="shared" si="5"/>
        <v>3962.7118683568733</v>
      </c>
      <c r="I43" s="268">
        <f t="shared" si="5"/>
        <v>0</v>
      </c>
      <c r="J43" s="268">
        <f t="shared" si="5"/>
        <v>0</v>
      </c>
    </row>
    <row r="44" spans="1:12" ht="12.75" hidden="1" x14ac:dyDescent="0.2">
      <c r="B44" s="272" t="s">
        <v>529</v>
      </c>
      <c r="C44" s="272"/>
      <c r="D44" s="268">
        <f>SUM(E44:J44)</f>
        <v>-2604.9482277549778</v>
      </c>
      <c r="E44" s="268"/>
      <c r="F44" s="268">
        <f>F43-F22</f>
        <v>-3018.3721754811368</v>
      </c>
      <c r="G44" s="268">
        <f>G43-G22</f>
        <v>1730.7314849169943</v>
      </c>
      <c r="H44" s="268">
        <f t="shared" ref="H44:I44" si="6">H43-H22</f>
        <v>-56.607537190835501</v>
      </c>
      <c r="I44" s="268">
        <f t="shared" si="6"/>
        <v>-1260.7</v>
      </c>
      <c r="J44" s="268"/>
    </row>
    <row r="45" spans="1:12" ht="12.75" hidden="1" x14ac:dyDescent="0.2">
      <c r="D45" s="280">
        <f>G45+H44+I44</f>
        <v>-2604.9482277549778</v>
      </c>
      <c r="G45" s="280">
        <f>G44+F44</f>
        <v>-1287.6406905641425</v>
      </c>
    </row>
    <row r="46" spans="1:12" ht="12.75" hidden="1" x14ac:dyDescent="0.2">
      <c r="H46" s="241">
        <v>4614.8828351714292</v>
      </c>
    </row>
    <row r="47" spans="1:12" ht="12.75" hidden="1" x14ac:dyDescent="0.2">
      <c r="H47" s="241">
        <f>H46/1.18</f>
        <v>3910.9176569249403</v>
      </c>
    </row>
    <row r="48" spans="1:12" ht="12.75" x14ac:dyDescent="0.2">
      <c r="D48" s="241">
        <f>'[4]2 ИП ТС'!K52/1.18</f>
        <v>11961.610202939086</v>
      </c>
    </row>
    <row r="49" spans="4:4" ht="12.75" x14ac:dyDescent="0.2">
      <c r="D49" s="290">
        <f>D33-D48</f>
        <v>293.33805080448474</v>
      </c>
    </row>
    <row r="50" spans="4:4" ht="15.6" hidden="1" customHeight="1" x14ac:dyDescent="0.2"/>
    <row r="51" spans="4:4" ht="15.6" hidden="1" customHeight="1" x14ac:dyDescent="0.2"/>
    <row r="52" spans="4:4" ht="15.6" hidden="1" customHeight="1" x14ac:dyDescent="0.2"/>
    <row r="53" spans="4:4" ht="12.75" x14ac:dyDescent="0.2"/>
    <row r="54" spans="4:4" ht="12.75" x14ac:dyDescent="0.2"/>
    <row r="55" spans="4:4" ht="12.75" x14ac:dyDescent="0.2"/>
    <row r="56" spans="4:4" ht="12.75" x14ac:dyDescent="0.2"/>
    <row r="57" spans="4:4" ht="12.75" x14ac:dyDescent="0.2"/>
    <row r="58" spans="4:4" ht="12.75" x14ac:dyDescent="0.2"/>
    <row r="59" spans="4:4" ht="12.75" x14ac:dyDescent="0.2"/>
    <row r="60" spans="4:4" ht="12.75" x14ac:dyDescent="0.2"/>
    <row r="61" spans="4:4" ht="12.75" x14ac:dyDescent="0.2"/>
    <row r="62" spans="4:4" ht="12.75" x14ac:dyDescent="0.2"/>
    <row r="63" spans="4:4" ht="12.75" x14ac:dyDescent="0.2"/>
    <row r="64" spans="4: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</sheetData>
  <mergeCells count="18">
    <mergeCell ref="J19:J20"/>
    <mergeCell ref="A35:J35"/>
    <mergeCell ref="C19:C20"/>
    <mergeCell ref="E19:E20"/>
    <mergeCell ref="F19:F20"/>
    <mergeCell ref="G19:G20"/>
    <mergeCell ref="H19:H20"/>
    <mergeCell ref="I19:I20"/>
    <mergeCell ref="A17:A20"/>
    <mergeCell ref="B17:B20"/>
    <mergeCell ref="C17:J17"/>
    <mergeCell ref="D18:D20"/>
    <mergeCell ref="E18:J18"/>
    <mergeCell ref="D5:E5"/>
    <mergeCell ref="A11:J11"/>
    <mergeCell ref="A12:J12"/>
    <mergeCell ref="A13:J13"/>
    <mergeCell ref="A14:J14"/>
  </mergeCells>
  <printOptions horizontalCentered="1"/>
  <pageMargins left="0.6692913385826772" right="0.43307086614173229" top="0.86614173228346458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8"/>
  <sheetViews>
    <sheetView view="pageBreakPreview" topLeftCell="A37" zoomScale="120" zoomScaleNormal="100" zoomScaleSheetLayoutView="120" workbookViewId="0">
      <selection activeCell="B4" sqref="B4"/>
    </sheetView>
  </sheetViews>
  <sheetFormatPr defaultColWidth="37.28515625" defaultRowHeight="15" x14ac:dyDescent="0.25"/>
  <cols>
    <col min="1" max="1" width="50.7109375" style="127" customWidth="1"/>
    <col min="2" max="2" width="43.42578125" style="127" customWidth="1"/>
    <col min="3" max="16384" width="37.28515625" style="127"/>
  </cols>
  <sheetData>
    <row r="1" spans="1:3" x14ac:dyDescent="0.25">
      <c r="B1" s="127" t="s">
        <v>530</v>
      </c>
    </row>
    <row r="2" spans="1:3" x14ac:dyDescent="0.25">
      <c r="B2" s="127" t="s">
        <v>531</v>
      </c>
    </row>
    <row r="3" spans="1:3" x14ac:dyDescent="0.25">
      <c r="B3" s="127" t="s">
        <v>532</v>
      </c>
    </row>
    <row r="4" spans="1:3" x14ac:dyDescent="0.25">
      <c r="B4" s="127" t="s">
        <v>580</v>
      </c>
    </row>
    <row r="6" spans="1:3" x14ac:dyDescent="0.25">
      <c r="B6" s="127" t="s">
        <v>541</v>
      </c>
    </row>
    <row r="7" spans="1:3" x14ac:dyDescent="0.25">
      <c r="B7" s="127" t="s">
        <v>531</v>
      </c>
    </row>
    <row r="8" spans="1:3" x14ac:dyDescent="0.25">
      <c r="B8" s="127" t="s">
        <v>532</v>
      </c>
    </row>
    <row r="9" spans="1:3" x14ac:dyDescent="0.25">
      <c r="B9" s="127" t="s">
        <v>540</v>
      </c>
    </row>
    <row r="10" spans="1:3" x14ac:dyDescent="0.25">
      <c r="A10" s="394"/>
      <c r="B10" s="394"/>
    </row>
    <row r="11" spans="1:3" x14ac:dyDescent="0.25">
      <c r="A11" s="395" t="s">
        <v>232</v>
      </c>
      <c r="B11" s="395"/>
    </row>
    <row r="12" spans="1:3" ht="34.15" customHeight="1" x14ac:dyDescent="0.25">
      <c r="A12" s="396" t="s">
        <v>253</v>
      </c>
      <c r="B12" s="396"/>
    </row>
    <row r="13" spans="1:3" ht="45" customHeight="1" x14ac:dyDescent="0.25">
      <c r="A13" s="180" t="s">
        <v>233</v>
      </c>
      <c r="B13" s="180" t="s">
        <v>234</v>
      </c>
    </row>
    <row r="14" spans="1:3" ht="30" x14ac:dyDescent="0.25">
      <c r="A14" s="180" t="s">
        <v>235</v>
      </c>
      <c r="B14" s="180" t="s">
        <v>236</v>
      </c>
    </row>
    <row r="15" spans="1:3" ht="16.5" x14ac:dyDescent="0.25">
      <c r="A15" s="180" t="s">
        <v>237</v>
      </c>
      <c r="B15" s="181" t="s">
        <v>256</v>
      </c>
      <c r="C15" s="304"/>
    </row>
    <row r="16" spans="1:3" ht="30.6" customHeight="1" x14ac:dyDescent="0.25">
      <c r="A16" s="180" t="s">
        <v>238</v>
      </c>
      <c r="B16" s="183" t="s">
        <v>265</v>
      </c>
    </row>
    <row r="17" spans="1:2" ht="30" x14ac:dyDescent="0.25">
      <c r="A17" s="180" t="s">
        <v>239</v>
      </c>
      <c r="B17" s="183" t="s">
        <v>267</v>
      </c>
    </row>
    <row r="18" spans="1:2" ht="45" x14ac:dyDescent="0.25">
      <c r="A18" s="180" t="s">
        <v>240</v>
      </c>
      <c r="B18" s="180" t="s">
        <v>241</v>
      </c>
    </row>
    <row r="19" spans="1:2" ht="30" x14ac:dyDescent="0.25">
      <c r="A19" s="180" t="s">
        <v>242</v>
      </c>
      <c r="B19" s="180" t="s">
        <v>243</v>
      </c>
    </row>
    <row r="20" spans="1:2" ht="45" x14ac:dyDescent="0.25">
      <c r="A20" s="180" t="s">
        <v>244</v>
      </c>
      <c r="B20" s="180" t="s">
        <v>245</v>
      </c>
    </row>
    <row r="21" spans="1:2" x14ac:dyDescent="0.25">
      <c r="A21" s="180" t="s">
        <v>246</v>
      </c>
      <c r="B21" s="302">
        <v>43062</v>
      </c>
    </row>
    <row r="22" spans="1:2" ht="30" x14ac:dyDescent="0.25">
      <c r="A22" s="180" t="s">
        <v>247</v>
      </c>
      <c r="B22" s="180" t="s">
        <v>266</v>
      </c>
    </row>
    <row r="23" spans="1:2" ht="45" x14ac:dyDescent="0.25">
      <c r="A23" s="182" t="s">
        <v>248</v>
      </c>
      <c r="B23" s="182" t="s">
        <v>254</v>
      </c>
    </row>
    <row r="24" spans="1:2" ht="30" x14ac:dyDescent="0.25">
      <c r="A24" s="182" t="s">
        <v>249</v>
      </c>
      <c r="B24" s="183" t="s">
        <v>257</v>
      </c>
    </row>
    <row r="25" spans="1:2" ht="30" x14ac:dyDescent="0.25">
      <c r="A25" s="182" t="s">
        <v>250</v>
      </c>
      <c r="B25" s="183" t="s">
        <v>258</v>
      </c>
    </row>
    <row r="26" spans="1:2" x14ac:dyDescent="0.25">
      <c r="A26" s="182" t="s">
        <v>251</v>
      </c>
      <c r="B26" s="303">
        <v>43062</v>
      </c>
    </row>
    <row r="27" spans="1:2" ht="30" x14ac:dyDescent="0.25">
      <c r="A27" s="182" t="s">
        <v>252</v>
      </c>
      <c r="B27" s="183" t="s">
        <v>259</v>
      </c>
    </row>
    <row r="28" spans="1:2" ht="30" x14ac:dyDescent="0.25">
      <c r="A28" s="182" t="s">
        <v>248</v>
      </c>
      <c r="B28" s="182" t="s">
        <v>539</v>
      </c>
    </row>
    <row r="29" spans="1:2" s="131" customFormat="1" ht="30" x14ac:dyDescent="0.25">
      <c r="A29" s="182" t="s">
        <v>249</v>
      </c>
      <c r="B29" s="183" t="s">
        <v>260</v>
      </c>
    </row>
    <row r="30" spans="1:2" s="131" customFormat="1" ht="30" x14ac:dyDescent="0.25">
      <c r="A30" s="182" t="s">
        <v>250</v>
      </c>
      <c r="B30" s="183" t="s">
        <v>538</v>
      </c>
    </row>
    <row r="31" spans="1:2" s="131" customFormat="1" x14ac:dyDescent="0.25">
      <c r="A31" s="182" t="s">
        <v>251</v>
      </c>
      <c r="B31" s="303">
        <v>43061</v>
      </c>
    </row>
    <row r="32" spans="1:2" s="131" customFormat="1" ht="30" x14ac:dyDescent="0.25">
      <c r="A32" s="182" t="s">
        <v>252</v>
      </c>
      <c r="B32" s="183" t="s">
        <v>264</v>
      </c>
    </row>
    <row r="33" spans="1:2" ht="45" x14ac:dyDescent="0.25">
      <c r="A33" s="182" t="s">
        <v>248</v>
      </c>
      <c r="B33" s="182" t="s">
        <v>255</v>
      </c>
    </row>
    <row r="34" spans="1:2" ht="30" x14ac:dyDescent="0.25">
      <c r="A34" s="182" t="s">
        <v>249</v>
      </c>
      <c r="B34" s="183" t="s">
        <v>261</v>
      </c>
    </row>
    <row r="35" spans="1:2" ht="30" x14ac:dyDescent="0.25">
      <c r="A35" s="182" t="s">
        <v>250</v>
      </c>
      <c r="B35" s="183" t="s">
        <v>262</v>
      </c>
    </row>
    <row r="36" spans="1:2" x14ac:dyDescent="0.25">
      <c r="A36" s="182" t="s">
        <v>251</v>
      </c>
      <c r="B36" s="303">
        <v>43031</v>
      </c>
    </row>
    <row r="37" spans="1:2" ht="30" x14ac:dyDescent="0.25">
      <c r="A37" s="182" t="s">
        <v>252</v>
      </c>
      <c r="B37" s="183" t="s">
        <v>263</v>
      </c>
    </row>
    <row r="38" spans="1:2" x14ac:dyDescent="0.25">
      <c r="A38" s="128"/>
      <c r="B38" s="305" t="s">
        <v>542</v>
      </c>
    </row>
    <row r="39" spans="1:2" x14ac:dyDescent="0.25">
      <c r="A39" s="128"/>
      <c r="B39" s="129"/>
    </row>
    <row r="40" spans="1:2" ht="24.6" customHeight="1" x14ac:dyDescent="0.25">
      <c r="A40" s="394"/>
      <c r="B40" s="394"/>
    </row>
    <row r="41" spans="1:2" x14ac:dyDescent="0.25">
      <c r="A41" s="394"/>
      <c r="B41" s="394"/>
    </row>
    <row r="42" spans="1:2" s="129" customFormat="1" x14ac:dyDescent="0.25">
      <c r="A42" s="130"/>
    </row>
    <row r="43" spans="1:2" s="129" customFormat="1" x14ac:dyDescent="0.25">
      <c r="A43" s="130"/>
    </row>
    <row r="44" spans="1:2" s="129" customFormat="1" x14ac:dyDescent="0.25">
      <c r="A44" s="130"/>
    </row>
    <row r="45" spans="1:2" s="129" customFormat="1" x14ac:dyDescent="0.25">
      <c r="A45" s="130"/>
    </row>
    <row r="46" spans="1:2" s="129" customFormat="1" x14ac:dyDescent="0.25">
      <c r="A46" s="130"/>
    </row>
    <row r="47" spans="1:2" s="129" customFormat="1" x14ac:dyDescent="0.25">
      <c r="A47" s="130"/>
    </row>
    <row r="48" spans="1:2" s="129" customFormat="1" x14ac:dyDescent="0.25">
      <c r="A48" s="130"/>
    </row>
    <row r="49" spans="1:1" s="129" customFormat="1" x14ac:dyDescent="0.25">
      <c r="A49" s="130"/>
    </row>
    <row r="50" spans="1:1" s="129" customFormat="1" x14ac:dyDescent="0.25">
      <c r="A50" s="130"/>
    </row>
    <row r="51" spans="1:1" s="129" customFormat="1" x14ac:dyDescent="0.25">
      <c r="A51" s="130"/>
    </row>
    <row r="52" spans="1:1" s="129" customFormat="1" x14ac:dyDescent="0.25">
      <c r="A52" s="130"/>
    </row>
    <row r="53" spans="1:1" s="129" customFormat="1" x14ac:dyDescent="0.25">
      <c r="A53" s="130"/>
    </row>
    <row r="54" spans="1:1" s="129" customFormat="1" x14ac:dyDescent="0.25">
      <c r="A54" s="130"/>
    </row>
    <row r="55" spans="1:1" s="129" customFormat="1" x14ac:dyDescent="0.25">
      <c r="A55" s="130"/>
    </row>
    <row r="56" spans="1:1" s="129" customFormat="1" x14ac:dyDescent="0.25"/>
    <row r="57" spans="1:1" s="129" customFormat="1" x14ac:dyDescent="0.25"/>
    <row r="58" spans="1:1" s="129" customFormat="1" x14ac:dyDescent="0.25"/>
  </sheetData>
  <mergeCells count="5">
    <mergeCell ref="A10:B10"/>
    <mergeCell ref="A11:B11"/>
    <mergeCell ref="A12:B12"/>
    <mergeCell ref="A40:B40"/>
    <mergeCell ref="A41:B41"/>
  </mergeCells>
  <pageMargins left="0.70866141732283472" right="0.19685039370078741" top="0.85" bottom="1.07" header="0.2" footer="0.19"/>
  <pageSetup paperSize="9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7"/>
  <sheetViews>
    <sheetView view="pageBreakPreview" topLeftCell="A41" zoomScale="140" zoomScaleNormal="130" zoomScaleSheetLayoutView="140" workbookViewId="0">
      <selection activeCell="B38" sqref="B38"/>
    </sheetView>
  </sheetViews>
  <sheetFormatPr defaultColWidth="8.85546875" defaultRowHeight="12.75" x14ac:dyDescent="0.2"/>
  <cols>
    <col min="1" max="1" width="3.42578125" style="4" customWidth="1"/>
    <col min="2" max="2" width="32.7109375" style="4" customWidth="1"/>
    <col min="3" max="3" width="6.42578125" style="4" customWidth="1"/>
    <col min="4" max="4" width="6.5703125" style="4" customWidth="1"/>
    <col min="5" max="5" width="6.140625" style="4" customWidth="1"/>
    <col min="6" max="6" width="5.42578125" style="4" customWidth="1"/>
    <col min="7" max="7" width="6.5703125" style="4" customWidth="1"/>
    <col min="8" max="8" width="6.85546875" style="4" customWidth="1"/>
    <col min="9" max="9" width="26.7109375" style="4" customWidth="1"/>
    <col min="10" max="16384" width="8.85546875" style="4"/>
  </cols>
  <sheetData>
    <row r="1" spans="1:10" s="2" customFormat="1" ht="4.1500000000000004" customHeight="1" x14ac:dyDescent="0.2"/>
    <row r="2" spans="1:10" s="10" customFormat="1" x14ac:dyDescent="0.2">
      <c r="A2" s="398" t="s">
        <v>112</v>
      </c>
      <c r="B2" s="398"/>
      <c r="C2" s="398"/>
      <c r="D2" s="398"/>
      <c r="E2" s="398"/>
      <c r="F2" s="398"/>
      <c r="G2" s="398"/>
      <c r="H2" s="398"/>
      <c r="I2" s="398"/>
    </row>
    <row r="3" spans="1:10" s="10" customFormat="1" x14ac:dyDescent="0.2">
      <c r="A3" s="399" t="s">
        <v>113</v>
      </c>
      <c r="B3" s="399"/>
      <c r="C3" s="399"/>
      <c r="D3" s="399"/>
      <c r="E3" s="399"/>
      <c r="F3" s="399"/>
      <c r="G3" s="399"/>
      <c r="H3" s="399"/>
      <c r="I3" s="399"/>
    </row>
    <row r="4" spans="1:10" s="8" customFormat="1" ht="10.5" x14ac:dyDescent="0.2">
      <c r="A4" s="400" t="s">
        <v>34</v>
      </c>
      <c r="B4" s="400"/>
      <c r="C4" s="400"/>
      <c r="D4" s="400"/>
      <c r="E4" s="400"/>
      <c r="F4" s="400"/>
      <c r="G4" s="400"/>
      <c r="H4" s="400"/>
      <c r="I4" s="400"/>
    </row>
    <row r="5" spans="1:10" x14ac:dyDescent="0.2">
      <c r="C5" s="10"/>
      <c r="D5" s="10"/>
      <c r="E5" s="10"/>
      <c r="F5" s="72" t="s">
        <v>114</v>
      </c>
      <c r="G5" s="10">
        <v>2017</v>
      </c>
      <c r="H5" s="10" t="s">
        <v>115</v>
      </c>
    </row>
    <row r="6" spans="1:10" ht="3" customHeight="1" x14ac:dyDescent="0.2"/>
    <row r="7" spans="1:10" s="13" customFormat="1" ht="25.15" customHeight="1" x14ac:dyDescent="0.2">
      <c r="A7" s="401" t="s">
        <v>0</v>
      </c>
      <c r="B7" s="401" t="s">
        <v>6</v>
      </c>
      <c r="C7" s="402" t="s">
        <v>40</v>
      </c>
      <c r="D7" s="402"/>
      <c r="E7" s="403" t="s">
        <v>41</v>
      </c>
      <c r="F7" s="403"/>
      <c r="G7" s="403" t="s">
        <v>116</v>
      </c>
      <c r="H7" s="403"/>
      <c r="I7" s="404" t="s">
        <v>117</v>
      </c>
    </row>
    <row r="8" spans="1:10" s="13" customFormat="1" ht="10.5" x14ac:dyDescent="0.2">
      <c r="A8" s="401"/>
      <c r="B8" s="401"/>
      <c r="C8" s="73" t="s">
        <v>118</v>
      </c>
      <c r="D8" s="73" t="s">
        <v>119</v>
      </c>
      <c r="E8" s="74" t="s">
        <v>118</v>
      </c>
      <c r="F8" s="74" t="s">
        <v>119</v>
      </c>
      <c r="G8" s="74" t="s">
        <v>118</v>
      </c>
      <c r="H8" s="73" t="s">
        <v>119</v>
      </c>
      <c r="I8" s="404"/>
    </row>
    <row r="9" spans="1:10" s="1" customFormat="1" ht="10.5" x14ac:dyDescent="0.2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</row>
    <row r="10" spans="1:10" s="13" customFormat="1" ht="10.5" x14ac:dyDescent="0.2">
      <c r="A10" s="405" t="s">
        <v>31</v>
      </c>
      <c r="B10" s="405"/>
      <c r="C10" s="405"/>
      <c r="D10" s="405"/>
      <c r="E10" s="405"/>
      <c r="F10" s="405"/>
      <c r="G10" s="405"/>
      <c r="H10" s="405"/>
      <c r="I10" s="405"/>
    </row>
    <row r="11" spans="1:10" s="1" customFormat="1" ht="10.5" x14ac:dyDescent="0.2">
      <c r="A11" s="405" t="s">
        <v>8</v>
      </c>
      <c r="B11" s="405"/>
      <c r="C11" s="405"/>
      <c r="D11" s="405"/>
      <c r="E11" s="405"/>
      <c r="F11" s="405"/>
      <c r="G11" s="405"/>
      <c r="H11" s="405"/>
      <c r="I11" s="405"/>
    </row>
    <row r="12" spans="1:10" s="1" customFormat="1" ht="36" customHeight="1" x14ac:dyDescent="0.2">
      <c r="A12" s="58" t="s">
        <v>9</v>
      </c>
      <c r="B12" s="59" t="s">
        <v>148</v>
      </c>
      <c r="C12" s="46">
        <v>2016</v>
      </c>
      <c r="D12" s="46">
        <v>2016</v>
      </c>
      <c r="E12" s="46">
        <v>2017</v>
      </c>
      <c r="F12" s="46">
        <v>2018</v>
      </c>
      <c r="G12" s="60">
        <v>63851.973499489883</v>
      </c>
      <c r="H12" s="60">
        <v>63261.08503219999</v>
      </c>
      <c r="I12" s="59" t="s">
        <v>422</v>
      </c>
      <c r="J12" s="194"/>
    </row>
    <row r="13" spans="1:10" s="1" customFormat="1" ht="10.5" hidden="1" x14ac:dyDescent="0.2">
      <c r="A13" s="187" t="s">
        <v>10</v>
      </c>
      <c r="B13" s="55"/>
      <c r="C13" s="56"/>
      <c r="D13" s="56"/>
      <c r="E13" s="56"/>
      <c r="F13" s="56"/>
      <c r="G13" s="56"/>
      <c r="H13" s="56"/>
      <c r="I13" s="55"/>
    </row>
    <row r="14" spans="1:10" s="1" customFormat="1" ht="10.5" x14ac:dyDescent="0.2">
      <c r="A14" s="405" t="s">
        <v>50</v>
      </c>
      <c r="B14" s="405"/>
      <c r="C14" s="405"/>
      <c r="D14" s="405"/>
      <c r="E14" s="405"/>
      <c r="F14" s="405"/>
      <c r="G14" s="405"/>
      <c r="H14" s="405"/>
      <c r="I14" s="405"/>
    </row>
    <row r="15" spans="1:10" s="1" customFormat="1" ht="31.5" x14ac:dyDescent="0.2">
      <c r="A15" s="58" t="s">
        <v>120</v>
      </c>
      <c r="B15" s="59" t="s">
        <v>152</v>
      </c>
      <c r="C15" s="46">
        <v>2016</v>
      </c>
      <c r="D15" s="46">
        <v>2016</v>
      </c>
      <c r="E15" s="46">
        <v>2017</v>
      </c>
      <c r="F15" s="46">
        <v>2018</v>
      </c>
      <c r="G15" s="60">
        <v>25453.788628223443</v>
      </c>
      <c r="H15" s="60">
        <v>34893.9359014</v>
      </c>
      <c r="I15" s="406" t="s">
        <v>422</v>
      </c>
      <c r="J15" s="194"/>
    </row>
    <row r="16" spans="1:10" s="1" customFormat="1" ht="21" x14ac:dyDescent="0.2">
      <c r="A16" s="58" t="s">
        <v>11</v>
      </c>
      <c r="B16" s="59" t="s">
        <v>155</v>
      </c>
      <c r="C16" s="46">
        <v>2016</v>
      </c>
      <c r="D16" s="46">
        <v>2016</v>
      </c>
      <c r="E16" s="46">
        <v>2017</v>
      </c>
      <c r="F16" s="46">
        <v>2018</v>
      </c>
      <c r="G16" s="60">
        <v>13792.806052066329</v>
      </c>
      <c r="H16" s="60">
        <v>14538.857332599999</v>
      </c>
      <c r="I16" s="407"/>
      <c r="J16" s="194"/>
    </row>
    <row r="17" spans="1:9" s="1" customFormat="1" ht="10.5" hidden="1" x14ac:dyDescent="0.2">
      <c r="A17" s="397" t="s">
        <v>12</v>
      </c>
      <c r="B17" s="397"/>
      <c r="C17" s="397"/>
      <c r="D17" s="397"/>
      <c r="E17" s="397"/>
      <c r="F17" s="397"/>
      <c r="G17" s="397"/>
      <c r="H17" s="397"/>
      <c r="I17" s="397"/>
    </row>
    <row r="18" spans="1:9" s="1" customFormat="1" ht="10.5" hidden="1" x14ac:dyDescent="0.2">
      <c r="A18" s="195" t="s">
        <v>13</v>
      </c>
      <c r="B18" s="196"/>
      <c r="C18" s="197"/>
      <c r="D18" s="197"/>
      <c r="E18" s="197"/>
      <c r="F18" s="197"/>
      <c r="G18" s="197"/>
      <c r="H18" s="197"/>
      <c r="I18" s="196"/>
    </row>
    <row r="19" spans="1:9" s="1" customFormat="1" ht="10.5" hidden="1" x14ac:dyDescent="0.2">
      <c r="A19" s="195" t="s">
        <v>14</v>
      </c>
      <c r="B19" s="196"/>
      <c r="C19" s="197"/>
      <c r="D19" s="197"/>
      <c r="E19" s="197"/>
      <c r="F19" s="197"/>
      <c r="G19" s="197"/>
      <c r="H19" s="197"/>
      <c r="I19" s="196"/>
    </row>
    <row r="20" spans="1:9" s="1" customFormat="1" ht="10.5" hidden="1" x14ac:dyDescent="0.2">
      <c r="A20" s="397" t="s">
        <v>51</v>
      </c>
      <c r="B20" s="397"/>
      <c r="C20" s="397"/>
      <c r="D20" s="397"/>
      <c r="E20" s="397"/>
      <c r="F20" s="397"/>
      <c r="G20" s="397"/>
      <c r="H20" s="397"/>
      <c r="I20" s="397"/>
    </row>
    <row r="21" spans="1:9" s="1" customFormat="1" ht="10.5" hidden="1" x14ac:dyDescent="0.2">
      <c r="A21" s="198"/>
      <c r="B21" s="199"/>
      <c r="C21" s="200"/>
      <c r="D21" s="200"/>
      <c r="E21" s="200"/>
      <c r="F21" s="200"/>
      <c r="G21" s="201"/>
      <c r="H21" s="201"/>
      <c r="I21" s="199"/>
    </row>
    <row r="22" spans="1:9" s="1" customFormat="1" ht="10.5" hidden="1" x14ac:dyDescent="0.2">
      <c r="A22" s="195"/>
      <c r="B22" s="196"/>
      <c r="C22" s="200"/>
      <c r="D22" s="200"/>
      <c r="E22" s="200"/>
      <c r="F22" s="200"/>
      <c r="G22" s="201"/>
      <c r="H22" s="201"/>
      <c r="I22" s="199"/>
    </row>
    <row r="23" spans="1:9" s="1" customFormat="1" ht="10.5" x14ac:dyDescent="0.2">
      <c r="A23" s="405" t="s">
        <v>15</v>
      </c>
      <c r="B23" s="405"/>
      <c r="C23" s="56"/>
      <c r="D23" s="56"/>
      <c r="E23" s="56"/>
      <c r="F23" s="56"/>
      <c r="G23" s="76">
        <f>G12+G15+G16</f>
        <v>103098.56817977966</v>
      </c>
      <c r="H23" s="76">
        <f>H12+H15+H16</f>
        <v>112693.8782662</v>
      </c>
      <c r="I23" s="55"/>
    </row>
    <row r="24" spans="1:9" s="13" customFormat="1" ht="13.5" customHeight="1" x14ac:dyDescent="0.2">
      <c r="A24" s="408" t="s">
        <v>121</v>
      </c>
      <c r="B24" s="409"/>
      <c r="C24" s="409"/>
      <c r="D24" s="409"/>
      <c r="E24" s="409"/>
      <c r="F24" s="409"/>
      <c r="G24" s="409"/>
      <c r="H24" s="409"/>
      <c r="I24" s="410"/>
    </row>
    <row r="25" spans="1:9" s="1" customFormat="1" ht="10.5" hidden="1" x14ac:dyDescent="0.2">
      <c r="A25" s="198"/>
      <c r="B25" s="199"/>
      <c r="C25" s="202"/>
      <c r="D25" s="202"/>
      <c r="E25" s="202"/>
      <c r="F25" s="200"/>
      <c r="G25" s="201"/>
      <c r="H25" s="201"/>
      <c r="I25" s="199"/>
    </row>
    <row r="26" spans="1:9" s="1" customFormat="1" ht="10.5" hidden="1" x14ac:dyDescent="0.2">
      <c r="A26" s="198"/>
      <c r="B26" s="199"/>
      <c r="C26" s="202"/>
      <c r="D26" s="202"/>
      <c r="E26" s="202"/>
      <c r="F26" s="202"/>
      <c r="G26" s="201"/>
      <c r="H26" s="201"/>
      <c r="I26" s="199"/>
    </row>
    <row r="27" spans="1:9" s="1" customFormat="1" ht="10.5" hidden="1" x14ac:dyDescent="0.2">
      <c r="A27" s="198"/>
      <c r="B27" s="199"/>
      <c r="C27" s="202"/>
      <c r="D27" s="202"/>
      <c r="E27" s="202"/>
      <c r="F27" s="202"/>
      <c r="G27" s="201"/>
      <c r="H27" s="201"/>
      <c r="I27" s="199"/>
    </row>
    <row r="28" spans="1:9" s="1" customFormat="1" ht="10.5" hidden="1" x14ac:dyDescent="0.2">
      <c r="A28" s="198"/>
      <c r="B28" s="199"/>
      <c r="C28" s="202"/>
      <c r="D28" s="202"/>
      <c r="E28" s="202"/>
      <c r="F28" s="200"/>
      <c r="G28" s="201"/>
      <c r="H28" s="201"/>
      <c r="I28" s="199"/>
    </row>
    <row r="29" spans="1:9" s="1" customFormat="1" ht="10.5" hidden="1" x14ac:dyDescent="0.2">
      <c r="A29" s="411" t="s">
        <v>16</v>
      </c>
      <c r="B29" s="411"/>
      <c r="C29" s="197"/>
      <c r="D29" s="197"/>
      <c r="E29" s="197"/>
      <c r="F29" s="197"/>
      <c r="G29" s="203">
        <v>0</v>
      </c>
      <c r="H29" s="203">
        <v>0</v>
      </c>
      <c r="I29" s="196"/>
    </row>
    <row r="30" spans="1:9" s="13" customFormat="1" ht="10.5" x14ac:dyDescent="0.2">
      <c r="A30" s="412" t="s">
        <v>32</v>
      </c>
      <c r="B30" s="413"/>
      <c r="C30" s="413"/>
      <c r="D30" s="413"/>
      <c r="E30" s="413"/>
      <c r="F30" s="413"/>
      <c r="G30" s="413"/>
      <c r="H30" s="413"/>
      <c r="I30" s="414"/>
    </row>
    <row r="31" spans="1:9" s="1" customFormat="1" ht="10.5" x14ac:dyDescent="0.2">
      <c r="A31" s="405" t="s">
        <v>17</v>
      </c>
      <c r="B31" s="405"/>
      <c r="C31" s="405"/>
      <c r="D31" s="405"/>
      <c r="E31" s="405"/>
      <c r="F31" s="405"/>
      <c r="G31" s="405"/>
      <c r="H31" s="405"/>
      <c r="I31" s="405"/>
    </row>
    <row r="32" spans="1:9" s="53" customFormat="1" ht="21" x14ac:dyDescent="0.2">
      <c r="A32" s="58" t="s">
        <v>160</v>
      </c>
      <c r="B32" s="59" t="s">
        <v>82</v>
      </c>
      <c r="C32" s="46">
        <v>2016</v>
      </c>
      <c r="D32" s="46">
        <v>2016</v>
      </c>
      <c r="E32" s="46">
        <v>2017</v>
      </c>
      <c r="F32" s="46">
        <v>2017</v>
      </c>
      <c r="G32" s="204">
        <v>19762</v>
      </c>
      <c r="H32" s="204">
        <v>19762</v>
      </c>
      <c r="I32" s="59"/>
    </row>
    <row r="33" spans="1:9" s="53" customFormat="1" ht="10.5" hidden="1" x14ac:dyDescent="0.2">
      <c r="A33" s="58"/>
      <c r="B33" s="199"/>
      <c r="C33" s="202"/>
      <c r="D33" s="202"/>
      <c r="E33" s="202"/>
      <c r="F33" s="202"/>
      <c r="G33" s="205"/>
      <c r="H33" s="205"/>
      <c r="I33" s="199"/>
    </row>
    <row r="34" spans="1:9" s="53" customFormat="1" ht="10.5" hidden="1" x14ac:dyDescent="0.2">
      <c r="A34" s="58"/>
      <c r="B34" s="199"/>
      <c r="C34" s="202"/>
      <c r="D34" s="202"/>
      <c r="E34" s="202"/>
      <c r="F34" s="202"/>
      <c r="G34" s="201"/>
      <c r="H34" s="201"/>
      <c r="I34" s="199"/>
    </row>
    <row r="35" spans="1:9" s="53" customFormat="1" ht="21" x14ac:dyDescent="0.2">
      <c r="A35" s="58" t="s">
        <v>423</v>
      </c>
      <c r="B35" s="59" t="s">
        <v>424</v>
      </c>
      <c r="C35" s="45" t="s">
        <v>79</v>
      </c>
      <c r="D35" s="45" t="s">
        <v>79</v>
      </c>
      <c r="E35" s="45" t="s">
        <v>79</v>
      </c>
      <c r="F35" s="45" t="s">
        <v>106</v>
      </c>
      <c r="G35" s="60">
        <v>8074.13</v>
      </c>
      <c r="H35" s="60">
        <v>854.38418019999995</v>
      </c>
      <c r="I35" s="59" t="s">
        <v>425</v>
      </c>
    </row>
    <row r="36" spans="1:9" s="1" customFormat="1" ht="10.5" x14ac:dyDescent="0.2">
      <c r="A36" s="415" t="s">
        <v>18</v>
      </c>
      <c r="B36" s="415"/>
      <c r="C36" s="415"/>
      <c r="D36" s="415"/>
      <c r="E36" s="415"/>
      <c r="F36" s="415"/>
      <c r="G36" s="415"/>
      <c r="H36" s="415"/>
      <c r="I36" s="415"/>
    </row>
    <row r="37" spans="1:9" s="53" customFormat="1" ht="21" x14ac:dyDescent="0.2">
      <c r="A37" s="58" t="s">
        <v>198</v>
      </c>
      <c r="B37" s="59" t="s">
        <v>80</v>
      </c>
      <c r="C37" s="45" t="s">
        <v>85</v>
      </c>
      <c r="D37" s="45" t="s">
        <v>85</v>
      </c>
      <c r="E37" s="45" t="s">
        <v>78</v>
      </c>
      <c r="F37" s="46">
        <v>2016</v>
      </c>
      <c r="G37" s="60">
        <v>2276.7035000000001</v>
      </c>
      <c r="H37" s="60">
        <v>2422.54</v>
      </c>
      <c r="I37" s="59" t="s">
        <v>224</v>
      </c>
    </row>
    <row r="38" spans="1:9" s="53" customFormat="1" ht="21" x14ac:dyDescent="0.2">
      <c r="A38" s="58" t="s">
        <v>199</v>
      </c>
      <c r="B38" s="59" t="s">
        <v>81</v>
      </c>
      <c r="C38" s="45" t="s">
        <v>78</v>
      </c>
      <c r="D38" s="45" t="s">
        <v>78</v>
      </c>
      <c r="E38" s="45" t="s">
        <v>78</v>
      </c>
      <c r="F38" s="45" t="s">
        <v>78</v>
      </c>
      <c r="G38" s="60">
        <v>2276.7035168000002</v>
      </c>
      <c r="H38" s="60">
        <v>2917.6271500000003</v>
      </c>
      <c r="I38" s="59" t="s">
        <v>224</v>
      </c>
    </row>
    <row r="39" spans="1:9" s="53" customFormat="1" ht="21" x14ac:dyDescent="0.2">
      <c r="A39" s="58" t="s">
        <v>200</v>
      </c>
      <c r="B39" s="67" t="s">
        <v>219</v>
      </c>
      <c r="C39" s="45" t="s">
        <v>78</v>
      </c>
      <c r="D39" s="45" t="s">
        <v>78</v>
      </c>
      <c r="E39" s="45" t="s">
        <v>78</v>
      </c>
      <c r="F39" s="45" t="s">
        <v>78</v>
      </c>
      <c r="G39" s="60">
        <v>2013.36</v>
      </c>
      <c r="H39" s="60">
        <v>2271.2372703999999</v>
      </c>
      <c r="I39" s="59" t="s">
        <v>224</v>
      </c>
    </row>
    <row r="40" spans="1:9" s="53" customFormat="1" ht="10.5" x14ac:dyDescent="0.2">
      <c r="A40" s="58" t="s">
        <v>201</v>
      </c>
      <c r="B40" s="59" t="s">
        <v>220</v>
      </c>
      <c r="C40" s="45" t="s">
        <v>78</v>
      </c>
      <c r="D40" s="45" t="s">
        <v>78</v>
      </c>
      <c r="E40" s="45" t="s">
        <v>78</v>
      </c>
      <c r="F40" s="45" t="s">
        <v>78</v>
      </c>
      <c r="G40" s="60">
        <v>2806.3151800000001</v>
      </c>
      <c r="H40" s="60">
        <v>2378.19841</v>
      </c>
      <c r="I40" s="59" t="s">
        <v>225</v>
      </c>
    </row>
    <row r="41" spans="1:9" s="53" customFormat="1" ht="21" x14ac:dyDescent="0.2">
      <c r="A41" s="58" t="s">
        <v>202</v>
      </c>
      <c r="B41" s="59" t="s">
        <v>221</v>
      </c>
      <c r="C41" s="45" t="s">
        <v>106</v>
      </c>
      <c r="D41" s="45" t="s">
        <v>78</v>
      </c>
      <c r="E41" s="45" t="s">
        <v>106</v>
      </c>
      <c r="F41" s="46">
        <v>2018</v>
      </c>
      <c r="G41" s="60">
        <v>0</v>
      </c>
      <c r="H41" s="60">
        <v>1550.4318776</v>
      </c>
      <c r="I41" s="59" t="s">
        <v>426</v>
      </c>
    </row>
    <row r="42" spans="1:9" s="53" customFormat="1" ht="10.5" hidden="1" x14ac:dyDescent="0.2">
      <c r="A42" s="58"/>
      <c r="B42" s="199"/>
      <c r="C42" s="202"/>
      <c r="D42" s="202"/>
      <c r="E42" s="202"/>
      <c r="F42" s="200"/>
      <c r="G42" s="201"/>
      <c r="H42" s="201"/>
      <c r="I42" s="199"/>
    </row>
    <row r="43" spans="1:9" s="53" customFormat="1" ht="10.5" x14ac:dyDescent="0.2">
      <c r="A43" s="58" t="s">
        <v>203</v>
      </c>
      <c r="B43" s="59" t="s">
        <v>427</v>
      </c>
      <c r="C43" s="45" t="s">
        <v>79</v>
      </c>
      <c r="D43" s="45" t="s">
        <v>79</v>
      </c>
      <c r="E43" s="45" t="s">
        <v>79</v>
      </c>
      <c r="F43" s="46">
        <v>2017</v>
      </c>
      <c r="G43" s="60">
        <v>1862.5894900000001</v>
      </c>
      <c r="H43" s="60">
        <v>1450.1953969999997</v>
      </c>
      <c r="I43" s="59" t="s">
        <v>428</v>
      </c>
    </row>
    <row r="44" spans="1:9" s="53" customFormat="1" ht="21" x14ac:dyDescent="0.2">
      <c r="A44" s="58" t="s">
        <v>396</v>
      </c>
      <c r="B44" s="59" t="s">
        <v>429</v>
      </c>
      <c r="C44" s="45" t="s">
        <v>79</v>
      </c>
      <c r="D44" s="45" t="s">
        <v>79</v>
      </c>
      <c r="E44" s="45" t="s">
        <v>79</v>
      </c>
      <c r="F44" s="46">
        <v>2017</v>
      </c>
      <c r="G44" s="60">
        <v>1862.58449</v>
      </c>
      <c r="H44" s="60">
        <v>1561.3470545999999</v>
      </c>
      <c r="I44" s="59" t="s">
        <v>428</v>
      </c>
    </row>
    <row r="45" spans="1:9" s="53" customFormat="1" ht="21" x14ac:dyDescent="0.2">
      <c r="A45" s="58" t="s">
        <v>204</v>
      </c>
      <c r="B45" s="59" t="s">
        <v>430</v>
      </c>
      <c r="C45" s="45" t="s">
        <v>79</v>
      </c>
      <c r="D45" s="45" t="s">
        <v>79</v>
      </c>
      <c r="E45" s="45" t="s">
        <v>79</v>
      </c>
      <c r="F45" s="46">
        <v>2017</v>
      </c>
      <c r="G45" s="60">
        <v>3537.45</v>
      </c>
      <c r="H45" s="60">
        <v>3537.0454451999999</v>
      </c>
      <c r="I45" s="59" t="s">
        <v>428</v>
      </c>
    </row>
    <row r="46" spans="1:9" s="53" customFormat="1" ht="21" x14ac:dyDescent="0.2">
      <c r="A46" s="58" t="s">
        <v>205</v>
      </c>
      <c r="B46" s="59" t="s">
        <v>431</v>
      </c>
      <c r="C46" s="45" t="s">
        <v>79</v>
      </c>
      <c r="D46" s="45" t="s">
        <v>110</v>
      </c>
      <c r="E46" s="45" t="s">
        <v>79</v>
      </c>
      <c r="F46" s="45" t="s">
        <v>111</v>
      </c>
      <c r="G46" s="60">
        <v>3062.34</v>
      </c>
      <c r="H46" s="60">
        <v>0</v>
      </c>
      <c r="I46" s="59" t="s">
        <v>432</v>
      </c>
    </row>
    <row r="47" spans="1:9" s="53" customFormat="1" ht="21" x14ac:dyDescent="0.2">
      <c r="A47" s="58" t="s">
        <v>206</v>
      </c>
      <c r="B47" s="59" t="s">
        <v>433</v>
      </c>
      <c r="C47" s="45" t="s">
        <v>79</v>
      </c>
      <c r="D47" s="45" t="s">
        <v>106</v>
      </c>
      <c r="E47" s="45" t="s">
        <v>79</v>
      </c>
      <c r="F47" s="45" t="s">
        <v>111</v>
      </c>
      <c r="G47" s="60">
        <v>1493.36</v>
      </c>
      <c r="H47" s="60">
        <v>1430.0277185703999</v>
      </c>
      <c r="I47" s="59" t="s">
        <v>428</v>
      </c>
    </row>
    <row r="48" spans="1:9" s="53" customFormat="1" ht="10.5" hidden="1" x14ac:dyDescent="0.2">
      <c r="A48" s="198"/>
      <c r="B48" s="199"/>
      <c r="C48" s="202"/>
      <c r="D48" s="202"/>
      <c r="E48" s="202"/>
      <c r="F48" s="200"/>
      <c r="G48" s="201"/>
      <c r="H48" s="201"/>
      <c r="I48" s="199"/>
    </row>
    <row r="49" spans="1:9" s="53" customFormat="1" ht="10.5" hidden="1" x14ac:dyDescent="0.2">
      <c r="A49" s="198"/>
      <c r="B49" s="199"/>
      <c r="C49" s="202"/>
      <c r="D49" s="202"/>
      <c r="E49" s="202"/>
      <c r="F49" s="200"/>
      <c r="G49" s="201"/>
      <c r="H49" s="201"/>
      <c r="I49" s="199"/>
    </row>
    <row r="50" spans="1:9" s="1" customFormat="1" ht="10.5" x14ac:dyDescent="0.2">
      <c r="A50" s="405" t="s">
        <v>19</v>
      </c>
      <c r="B50" s="405"/>
      <c r="C50" s="56"/>
      <c r="D50" s="56"/>
      <c r="E50" s="56"/>
      <c r="F50" s="56"/>
      <c r="G50" s="76">
        <f>G32+G35+G37+G38+G39+G40+G41+G43+G44+G45+G46+G47</f>
        <v>49027.5361768</v>
      </c>
      <c r="H50" s="76">
        <f>H32+H35+H37+H38+H39+H40+H41+H43+H44+H45+H46+H47</f>
        <v>40135.034503570409</v>
      </c>
      <c r="I50" s="55"/>
    </row>
    <row r="51" spans="1:9" s="13" customFormat="1" ht="10.5" x14ac:dyDescent="0.2">
      <c r="A51" s="417" t="s">
        <v>20</v>
      </c>
      <c r="B51" s="417"/>
      <c r="C51" s="417"/>
      <c r="D51" s="417"/>
      <c r="E51" s="417"/>
      <c r="F51" s="417"/>
      <c r="G51" s="417"/>
      <c r="H51" s="417"/>
      <c r="I51" s="417"/>
    </row>
    <row r="52" spans="1:9" s="53" customFormat="1" ht="31.5" x14ac:dyDescent="0.2">
      <c r="A52" s="46" t="s">
        <v>226</v>
      </c>
      <c r="B52" s="59" t="s">
        <v>83</v>
      </c>
      <c r="C52" s="45" t="s">
        <v>78</v>
      </c>
      <c r="D52" s="45" t="s">
        <v>111</v>
      </c>
      <c r="E52" s="45" t="s">
        <v>78</v>
      </c>
      <c r="F52" s="45" t="s">
        <v>111</v>
      </c>
      <c r="G52" s="60">
        <v>4700.041009666209</v>
      </c>
      <c r="H52" s="60">
        <v>0</v>
      </c>
      <c r="I52" s="59" t="s">
        <v>230</v>
      </c>
    </row>
    <row r="53" spans="1:9" s="53" customFormat="1" ht="42" x14ac:dyDescent="0.2">
      <c r="A53" s="46" t="s">
        <v>227</v>
      </c>
      <c r="B53" s="59" t="s">
        <v>222</v>
      </c>
      <c r="C53" s="45" t="s">
        <v>85</v>
      </c>
      <c r="D53" s="45" t="s">
        <v>85</v>
      </c>
      <c r="E53" s="45" t="s">
        <v>138</v>
      </c>
      <c r="F53" s="45" t="s">
        <v>111</v>
      </c>
      <c r="G53" s="60">
        <v>9193.01</v>
      </c>
      <c r="H53" s="60">
        <v>2000</v>
      </c>
      <c r="I53" s="59" t="s">
        <v>231</v>
      </c>
    </row>
    <row r="54" spans="1:9" s="53" customFormat="1" ht="31.5" x14ac:dyDescent="0.2">
      <c r="A54" s="46" t="s">
        <v>228</v>
      </c>
      <c r="B54" s="59" t="s">
        <v>84</v>
      </c>
      <c r="C54" s="45" t="s">
        <v>78</v>
      </c>
      <c r="D54" s="45" t="s">
        <v>111</v>
      </c>
      <c r="E54" s="45" t="s">
        <v>78</v>
      </c>
      <c r="F54" s="45" t="s">
        <v>111</v>
      </c>
      <c r="G54" s="60">
        <v>3375.3987686141331</v>
      </c>
      <c r="H54" s="60">
        <v>0</v>
      </c>
      <c r="I54" s="59" t="s">
        <v>230</v>
      </c>
    </row>
    <row r="55" spans="1:9" s="53" customFormat="1" ht="21" x14ac:dyDescent="0.2">
      <c r="A55" s="46" t="s">
        <v>229</v>
      </c>
      <c r="B55" s="67" t="s">
        <v>223</v>
      </c>
      <c r="C55" s="45" t="s">
        <v>78</v>
      </c>
      <c r="D55" s="45" t="s">
        <v>78</v>
      </c>
      <c r="E55" s="45" t="s">
        <v>110</v>
      </c>
      <c r="F55" s="45" t="s">
        <v>111</v>
      </c>
      <c r="G55" s="60">
        <v>5951</v>
      </c>
      <c r="H55" s="60">
        <v>6855.4220955999999</v>
      </c>
      <c r="I55" s="59" t="s">
        <v>434</v>
      </c>
    </row>
    <row r="56" spans="1:9" s="1" customFormat="1" ht="10.5" x14ac:dyDescent="0.2">
      <c r="A56" s="405" t="s">
        <v>21</v>
      </c>
      <c r="B56" s="405"/>
      <c r="C56" s="190"/>
      <c r="D56" s="190"/>
      <c r="E56" s="190"/>
      <c r="F56" s="190"/>
      <c r="G56" s="76">
        <f>G52+G53+G54+G55</f>
        <v>23219.449778280341</v>
      </c>
      <c r="H56" s="76">
        <f>H52+H53+H54+H55</f>
        <v>8855.422095599999</v>
      </c>
      <c r="I56" s="55"/>
    </row>
    <row r="57" spans="1:9" s="13" customFormat="1" ht="10.5" x14ac:dyDescent="0.2">
      <c r="A57" s="405" t="s">
        <v>22</v>
      </c>
      <c r="B57" s="405"/>
      <c r="C57" s="405"/>
      <c r="D57" s="405"/>
      <c r="E57" s="405"/>
      <c r="F57" s="405"/>
      <c r="G57" s="405"/>
      <c r="H57" s="405"/>
      <c r="I57" s="405"/>
    </row>
    <row r="58" spans="1:9" s="1" customFormat="1" ht="10.5" hidden="1" x14ac:dyDescent="0.2">
      <c r="A58" s="415" t="s">
        <v>25</v>
      </c>
      <c r="B58" s="415"/>
      <c r="C58" s="415"/>
      <c r="D58" s="415"/>
      <c r="E58" s="415"/>
      <c r="F58" s="415"/>
      <c r="G58" s="415"/>
      <c r="H58" s="415"/>
      <c r="I58" s="415"/>
    </row>
    <row r="59" spans="1:9" s="1" customFormat="1" ht="10.5" hidden="1" x14ac:dyDescent="0.2">
      <c r="A59" s="187" t="s">
        <v>23</v>
      </c>
      <c r="B59" s="55"/>
      <c r="C59" s="56"/>
      <c r="D59" s="56"/>
      <c r="E59" s="56"/>
      <c r="F59" s="56"/>
      <c r="G59" s="56"/>
      <c r="H59" s="56"/>
      <c r="I59" s="55"/>
    </row>
    <row r="60" spans="1:9" s="1" customFormat="1" ht="10.5" hidden="1" x14ac:dyDescent="0.2">
      <c r="A60" s="187" t="s">
        <v>24</v>
      </c>
      <c r="B60" s="55"/>
      <c r="C60" s="56"/>
      <c r="D60" s="56"/>
      <c r="E60" s="56"/>
      <c r="F60" s="56"/>
      <c r="G60" s="56"/>
      <c r="H60" s="56"/>
      <c r="I60" s="55"/>
    </row>
    <row r="61" spans="1:9" s="1" customFormat="1" ht="10.5" hidden="1" x14ac:dyDescent="0.2">
      <c r="A61" s="415" t="s">
        <v>52</v>
      </c>
      <c r="B61" s="415"/>
      <c r="C61" s="415"/>
      <c r="D61" s="415"/>
      <c r="E61" s="415"/>
      <c r="F61" s="415"/>
      <c r="G61" s="415"/>
      <c r="H61" s="415"/>
      <c r="I61" s="415"/>
    </row>
    <row r="62" spans="1:9" s="1" customFormat="1" ht="10.5" hidden="1" x14ac:dyDescent="0.2">
      <c r="A62" s="187" t="s">
        <v>26</v>
      </c>
      <c r="B62" s="55"/>
      <c r="C62" s="56"/>
      <c r="D62" s="56"/>
      <c r="E62" s="56"/>
      <c r="F62" s="56"/>
      <c r="G62" s="56"/>
      <c r="H62" s="56"/>
      <c r="I62" s="55"/>
    </row>
    <row r="63" spans="1:9" s="1" customFormat="1" ht="10.5" hidden="1" x14ac:dyDescent="0.2">
      <c r="A63" s="187" t="s">
        <v>27</v>
      </c>
      <c r="B63" s="55"/>
      <c r="C63" s="56"/>
      <c r="D63" s="56"/>
      <c r="E63" s="56"/>
      <c r="F63" s="56"/>
      <c r="G63" s="56"/>
      <c r="H63" s="56"/>
      <c r="I63" s="55"/>
    </row>
    <row r="64" spans="1:9" s="1" customFormat="1" ht="10.5" hidden="1" x14ac:dyDescent="0.2">
      <c r="A64" s="415" t="s">
        <v>28</v>
      </c>
      <c r="B64" s="415"/>
      <c r="C64" s="56"/>
      <c r="D64" s="56"/>
      <c r="E64" s="56"/>
      <c r="F64" s="56"/>
      <c r="G64" s="56"/>
      <c r="H64" s="56"/>
      <c r="I64" s="55"/>
    </row>
    <row r="65" spans="1:9" x14ac:dyDescent="0.2">
      <c r="A65" s="405" t="s">
        <v>435</v>
      </c>
      <c r="B65" s="405"/>
      <c r="C65" s="126"/>
      <c r="D65" s="126"/>
      <c r="E65" s="126"/>
      <c r="F65" s="126"/>
      <c r="G65" s="76">
        <f>G23+G50+G56</f>
        <v>175345.55413485999</v>
      </c>
      <c r="H65" s="76">
        <f>H23+H50+H56</f>
        <v>161684.33486537042</v>
      </c>
      <c r="I65" s="126"/>
    </row>
    <row r="66" spans="1:9" s="2" customFormat="1" ht="31.5" customHeight="1" x14ac:dyDescent="0.2">
      <c r="A66" s="416" t="s">
        <v>129</v>
      </c>
      <c r="B66" s="416"/>
      <c r="C66" s="416"/>
      <c r="D66" s="416"/>
      <c r="E66" s="416"/>
      <c r="F66" s="416"/>
      <c r="G66" s="416"/>
      <c r="H66" s="416"/>
      <c r="I66" s="416"/>
    </row>
    <row r="67" spans="1:9" s="3" customFormat="1" ht="12" x14ac:dyDescent="0.2">
      <c r="D67" s="3" t="s">
        <v>30</v>
      </c>
      <c r="E67" s="193"/>
      <c r="F67" s="193"/>
      <c r="G67" s="193"/>
      <c r="H67" s="193"/>
    </row>
  </sheetData>
  <mergeCells count="30">
    <mergeCell ref="A61:I61"/>
    <mergeCell ref="A64:B64"/>
    <mergeCell ref="A65:B65"/>
    <mergeCell ref="A66:I66"/>
    <mergeCell ref="A36:I36"/>
    <mergeCell ref="A50:B50"/>
    <mergeCell ref="A51:I51"/>
    <mergeCell ref="A56:B56"/>
    <mergeCell ref="A57:I57"/>
    <mergeCell ref="A58:I58"/>
    <mergeCell ref="A23:B23"/>
    <mergeCell ref="A24:I24"/>
    <mergeCell ref="A29:B29"/>
    <mergeCell ref="A30:I30"/>
    <mergeCell ref="A31:I31"/>
    <mergeCell ref="A20:I20"/>
    <mergeCell ref="A2:I2"/>
    <mergeCell ref="A3:I3"/>
    <mergeCell ref="A4:I4"/>
    <mergeCell ref="A7:A8"/>
    <mergeCell ref="B7:B8"/>
    <mergeCell ref="C7:D7"/>
    <mergeCell ref="E7:F7"/>
    <mergeCell ref="G7:H7"/>
    <mergeCell ref="I7:I8"/>
    <mergeCell ref="A10:I10"/>
    <mergeCell ref="A11:I11"/>
    <mergeCell ref="A14:I14"/>
    <mergeCell ref="I15:I16"/>
    <mergeCell ref="A17:I17"/>
  </mergeCells>
  <pageMargins left="0.19685039370078741" right="0.19685039370078741" top="0.35433070866141736" bottom="0.74803149606299213" header="0.31496062992125984" footer="0.31496062992125984"/>
  <pageSetup paperSize="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8"/>
  <sheetViews>
    <sheetView view="pageBreakPreview" topLeftCell="A13" zoomScale="130" zoomScaleNormal="130" zoomScaleSheetLayoutView="130" workbookViewId="0">
      <selection activeCell="T29" sqref="T29"/>
    </sheetView>
  </sheetViews>
  <sheetFormatPr defaultColWidth="6.28515625" defaultRowHeight="12.75" x14ac:dyDescent="0.2"/>
  <cols>
    <col min="1" max="1" width="4.7109375" style="44" customWidth="1"/>
    <col min="2" max="2" width="27.42578125" style="44" customWidth="1"/>
    <col min="3" max="3" width="7.28515625" style="44" customWidth="1"/>
    <col min="4" max="4" width="6.28515625" style="44"/>
    <col min="5" max="5" width="7.85546875" style="44" customWidth="1"/>
    <col min="6" max="6" width="8.140625" style="44" customWidth="1"/>
    <col min="7" max="7" width="6.28515625" style="4"/>
    <col min="8" max="8" width="6.28515625" style="44"/>
    <col min="9" max="9" width="7.7109375" style="44" bestFit="1" customWidth="1"/>
    <col min="10" max="10" width="6.28515625" style="44"/>
    <col min="11" max="11" width="6.28515625" style="4"/>
    <col min="12" max="12" width="6.28515625" style="44"/>
    <col min="13" max="13" width="0" style="44" hidden="1" customWidth="1"/>
    <col min="14" max="16384" width="6.28515625" style="44"/>
  </cols>
  <sheetData>
    <row r="1" spans="1:13" s="42" customFormat="1" ht="12" x14ac:dyDescent="0.2">
      <c r="G1" s="2"/>
      <c r="K1" s="2"/>
    </row>
    <row r="2" spans="1:13" s="43" customFormat="1" ht="12" x14ac:dyDescent="0.2">
      <c r="G2" s="3"/>
      <c r="K2" s="3"/>
    </row>
    <row r="3" spans="1:13" s="43" customFormat="1" ht="12" x14ac:dyDescent="0.2">
      <c r="G3" s="3"/>
      <c r="K3" s="3"/>
    </row>
    <row r="4" spans="1:13" s="42" customFormat="1" ht="31.15" customHeight="1" x14ac:dyDescent="0.2">
      <c r="A4" s="421" t="s">
        <v>130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3" s="42" customFormat="1" ht="15" customHeight="1" x14ac:dyDescent="0.2">
      <c r="A5" s="422" t="s">
        <v>113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</row>
    <row r="6" spans="1:13" x14ac:dyDescent="0.2">
      <c r="A6" s="423" t="s">
        <v>436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3" s="42" customFormat="1" ht="12" x14ac:dyDescent="0.2">
      <c r="G7" s="206"/>
      <c r="K7" s="2"/>
    </row>
    <row r="8" spans="1:13" s="43" customFormat="1" ht="12" x14ac:dyDescent="0.2">
      <c r="G8" s="3"/>
      <c r="K8" s="3"/>
    </row>
    <row r="9" spans="1:13" s="87" customFormat="1" ht="10.5" x14ac:dyDescent="0.2">
      <c r="A9" s="424" t="s">
        <v>0</v>
      </c>
      <c r="B9" s="425" t="s">
        <v>71</v>
      </c>
      <c r="C9" s="425" t="s">
        <v>72</v>
      </c>
      <c r="D9" s="425"/>
      <c r="E9" s="425"/>
      <c r="F9" s="425"/>
      <c r="G9" s="425" t="s">
        <v>73</v>
      </c>
      <c r="H9" s="425"/>
      <c r="I9" s="425"/>
      <c r="J9" s="425"/>
      <c r="K9" s="425"/>
      <c r="L9" s="425"/>
    </row>
    <row r="10" spans="1:13" s="87" customFormat="1" ht="106.5" customHeight="1" x14ac:dyDescent="0.2">
      <c r="A10" s="424"/>
      <c r="B10" s="425"/>
      <c r="C10" s="426" t="s">
        <v>74</v>
      </c>
      <c r="D10" s="426"/>
      <c r="E10" s="426" t="s">
        <v>75</v>
      </c>
      <c r="F10" s="426"/>
      <c r="G10" s="426" t="s">
        <v>131</v>
      </c>
      <c r="H10" s="426"/>
      <c r="I10" s="426" t="s">
        <v>132</v>
      </c>
      <c r="J10" s="426"/>
      <c r="K10" s="426" t="s">
        <v>133</v>
      </c>
      <c r="L10" s="426"/>
    </row>
    <row r="11" spans="1:13" s="88" customFormat="1" ht="12.6" customHeight="1" x14ac:dyDescent="0.2">
      <c r="A11" s="424"/>
      <c r="B11" s="425"/>
      <c r="C11" s="189" t="s">
        <v>118</v>
      </c>
      <c r="D11" s="189" t="s">
        <v>119</v>
      </c>
      <c r="E11" s="189" t="s">
        <v>118</v>
      </c>
      <c r="F11" s="189" t="s">
        <v>119</v>
      </c>
      <c r="G11" s="207" t="s">
        <v>118</v>
      </c>
      <c r="H11" s="189" t="s">
        <v>119</v>
      </c>
      <c r="I11" s="189" t="s">
        <v>118</v>
      </c>
      <c r="J11" s="189" t="s">
        <v>119</v>
      </c>
      <c r="K11" s="207" t="s">
        <v>118</v>
      </c>
      <c r="L11" s="189" t="s">
        <v>119</v>
      </c>
    </row>
    <row r="12" spans="1:13" s="88" customFormat="1" ht="10.5" x14ac:dyDescent="0.2">
      <c r="A12" s="90">
        <v>1</v>
      </c>
      <c r="B12" s="90">
        <v>2</v>
      </c>
      <c r="C12" s="90">
        <v>3</v>
      </c>
      <c r="D12" s="90">
        <v>4</v>
      </c>
      <c r="E12" s="90">
        <v>5</v>
      </c>
      <c r="F12" s="90">
        <v>6</v>
      </c>
      <c r="G12" s="208">
        <v>7</v>
      </c>
      <c r="H12" s="90">
        <v>8</v>
      </c>
      <c r="I12" s="90">
        <v>9</v>
      </c>
      <c r="J12" s="90">
        <v>10</v>
      </c>
      <c r="K12" s="208">
        <v>11</v>
      </c>
      <c r="L12" s="90">
        <v>12</v>
      </c>
    </row>
    <row r="13" spans="1:13" s="88" customFormat="1" ht="10.5" x14ac:dyDescent="0.2">
      <c r="A13" s="427" t="s">
        <v>134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</row>
    <row r="14" spans="1:13" s="88" customFormat="1" ht="10.5" x14ac:dyDescent="0.2">
      <c r="A14" s="428" t="s">
        <v>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</row>
    <row r="15" spans="1:13" s="88" customFormat="1" ht="32.25" customHeight="1" x14ac:dyDescent="0.2">
      <c r="A15" s="132" t="s">
        <v>9</v>
      </c>
      <c r="B15" s="133" t="s">
        <v>148</v>
      </c>
      <c r="C15" s="132">
        <v>0</v>
      </c>
      <c r="D15" s="132">
        <v>0</v>
      </c>
      <c r="E15" s="132">
        <v>0</v>
      </c>
      <c r="F15" s="132">
        <v>0</v>
      </c>
      <c r="G15" s="209">
        <v>253.23</v>
      </c>
      <c r="H15" s="132">
        <v>273.8</v>
      </c>
      <c r="I15" s="210">
        <v>2.7309999999999999</v>
      </c>
      <c r="J15" s="210">
        <v>2.7293308362745807</v>
      </c>
      <c r="K15" s="209">
        <v>3792</v>
      </c>
      <c r="L15" s="132">
        <v>3789.13</v>
      </c>
      <c r="M15" s="88">
        <v>1388.3</v>
      </c>
    </row>
    <row r="16" spans="1:13" s="88" customFormat="1" ht="10.5" x14ac:dyDescent="0.2">
      <c r="A16" s="428" t="s">
        <v>50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</row>
    <row r="17" spans="1:13" s="88" customFormat="1" ht="41.25" customHeight="1" x14ac:dyDescent="0.2">
      <c r="A17" s="132" t="s">
        <v>120</v>
      </c>
      <c r="B17" s="133" t="s">
        <v>152</v>
      </c>
      <c r="C17" s="132">
        <v>0</v>
      </c>
      <c r="D17" s="132">
        <v>0</v>
      </c>
      <c r="E17" s="132">
        <v>0</v>
      </c>
      <c r="F17" s="132">
        <v>0</v>
      </c>
      <c r="G17" s="209">
        <v>253.23</v>
      </c>
      <c r="H17" s="132">
        <v>273.8</v>
      </c>
      <c r="I17" s="210">
        <v>2.7309999999999999</v>
      </c>
      <c r="J17" s="210">
        <v>2.7293308362745807</v>
      </c>
      <c r="K17" s="209">
        <v>3792</v>
      </c>
      <c r="L17" s="132">
        <v>3789.13</v>
      </c>
      <c r="M17" s="88">
        <v>1388.3</v>
      </c>
    </row>
    <row r="18" spans="1:13" s="88" customFormat="1" ht="33.75" customHeight="1" x14ac:dyDescent="0.2">
      <c r="A18" s="132" t="s">
        <v>11</v>
      </c>
      <c r="B18" s="133" t="s">
        <v>155</v>
      </c>
      <c r="C18" s="132">
        <v>0</v>
      </c>
      <c r="D18" s="132">
        <v>0</v>
      </c>
      <c r="E18" s="132">
        <v>0</v>
      </c>
      <c r="F18" s="132">
        <v>0</v>
      </c>
      <c r="G18" s="209">
        <v>253.23</v>
      </c>
      <c r="H18" s="132">
        <v>273.8</v>
      </c>
      <c r="I18" s="210">
        <v>2.7309999999999999</v>
      </c>
      <c r="J18" s="210">
        <v>2.7293308362745807</v>
      </c>
      <c r="K18" s="209">
        <v>3792</v>
      </c>
      <c r="L18" s="132">
        <v>3789.13</v>
      </c>
      <c r="M18" s="88">
        <v>1388.3</v>
      </c>
    </row>
    <row r="19" spans="1:13" s="88" customFormat="1" ht="10.5" x14ac:dyDescent="0.2">
      <c r="A19" s="418" t="s">
        <v>437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20"/>
    </row>
    <row r="20" spans="1:13" s="88" customFormat="1" ht="20.25" customHeight="1" x14ac:dyDescent="0.2">
      <c r="A20" s="430" t="s">
        <v>438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2"/>
    </row>
    <row r="21" spans="1:13" s="88" customFormat="1" ht="21.75" customHeight="1" x14ac:dyDescent="0.2">
      <c r="A21" s="132" t="s">
        <v>439</v>
      </c>
      <c r="B21" s="133" t="s">
        <v>440</v>
      </c>
      <c r="C21" s="132">
        <v>0</v>
      </c>
      <c r="D21" s="132">
        <v>0</v>
      </c>
      <c r="E21" s="132">
        <v>0</v>
      </c>
      <c r="F21" s="132">
        <v>0</v>
      </c>
      <c r="G21" s="209">
        <v>282.51</v>
      </c>
      <c r="H21" s="209">
        <v>284.2</v>
      </c>
      <c r="I21" s="209">
        <v>2.9209999999999998</v>
      </c>
      <c r="J21" s="209">
        <v>2.9649999999999999</v>
      </c>
      <c r="K21" s="209">
        <v>3390</v>
      </c>
      <c r="L21" s="132">
        <v>3357.71</v>
      </c>
      <c r="M21" s="88">
        <v>1160.5</v>
      </c>
    </row>
    <row r="22" spans="1:13" s="88" customFormat="1" ht="23.25" customHeight="1" x14ac:dyDescent="0.2">
      <c r="A22" s="433" t="s">
        <v>32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5"/>
    </row>
    <row r="23" spans="1:13" s="88" customFormat="1" ht="10.5" x14ac:dyDescent="0.2">
      <c r="A23" s="436" t="s">
        <v>17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8"/>
    </row>
    <row r="24" spans="1:13" s="88" customFormat="1" ht="33.75" customHeight="1" x14ac:dyDescent="0.2">
      <c r="A24" s="209" t="s">
        <v>160</v>
      </c>
      <c r="B24" s="211" t="s">
        <v>82</v>
      </c>
      <c r="C24" s="209">
        <v>0</v>
      </c>
      <c r="D24" s="209">
        <v>0</v>
      </c>
      <c r="E24" s="209">
        <v>0</v>
      </c>
      <c r="F24" s="209">
        <v>0</v>
      </c>
      <c r="G24" s="209">
        <v>158.69999999999999</v>
      </c>
      <c r="H24" s="209">
        <v>158.30000000000001</v>
      </c>
      <c r="I24" s="210">
        <v>2.2509999999999999</v>
      </c>
      <c r="J24" s="210">
        <v>2.8406480808765315</v>
      </c>
      <c r="K24" s="209">
        <v>1382</v>
      </c>
      <c r="L24" s="209">
        <v>1743.8</v>
      </c>
      <c r="M24" s="88">
        <v>613.87400000000002</v>
      </c>
    </row>
    <row r="25" spans="1:13" s="88" customFormat="1" ht="22.5" customHeight="1" x14ac:dyDescent="0.2">
      <c r="A25" s="209" t="s">
        <v>423</v>
      </c>
      <c r="B25" s="211" t="s">
        <v>424</v>
      </c>
      <c r="C25" s="209">
        <v>0</v>
      </c>
      <c r="D25" s="209">
        <v>0</v>
      </c>
      <c r="E25" s="209">
        <v>0</v>
      </c>
      <c r="F25" s="209">
        <v>0</v>
      </c>
      <c r="G25" s="209">
        <v>161.5</v>
      </c>
      <c r="H25" s="209">
        <v>116.7</v>
      </c>
      <c r="I25" s="210">
        <v>2.8224155578300922</v>
      </c>
      <c r="J25" s="210">
        <v>2.899078812691914</v>
      </c>
      <c r="K25" s="209">
        <v>1103</v>
      </c>
      <c r="L25" s="209">
        <v>1132.96</v>
      </c>
      <c r="M25" s="88">
        <v>390.8</v>
      </c>
    </row>
    <row r="26" spans="1:13" s="88" customFormat="1" ht="10.5" x14ac:dyDescent="0.2">
      <c r="A26" s="436" t="s">
        <v>18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8"/>
      <c r="M26" s="212"/>
    </row>
    <row r="27" spans="1:13" s="88" customFormat="1" ht="24.75" customHeight="1" x14ac:dyDescent="0.2">
      <c r="A27" s="209" t="s">
        <v>198</v>
      </c>
      <c r="B27" s="211" t="s">
        <v>80</v>
      </c>
      <c r="C27" s="209">
        <v>0</v>
      </c>
      <c r="D27" s="209">
        <v>0</v>
      </c>
      <c r="E27" s="209">
        <v>0</v>
      </c>
      <c r="F27" s="209">
        <v>0</v>
      </c>
      <c r="G27" s="209">
        <v>242.74</v>
      </c>
      <c r="H27" s="209">
        <v>261.2</v>
      </c>
      <c r="I27" s="210">
        <v>2.8279999999999998</v>
      </c>
      <c r="J27" s="210">
        <v>2.7503611412062119</v>
      </c>
      <c r="K27" s="209">
        <v>1566</v>
      </c>
      <c r="L27" s="209">
        <v>1523.15</v>
      </c>
      <c r="M27" s="88">
        <v>553.79999999999995</v>
      </c>
    </row>
    <row r="28" spans="1:13" s="88" customFormat="1" ht="23.25" customHeight="1" x14ac:dyDescent="0.2">
      <c r="A28" s="209" t="s">
        <v>199</v>
      </c>
      <c r="B28" s="211" t="s">
        <v>81</v>
      </c>
      <c r="C28" s="209">
        <v>0</v>
      </c>
      <c r="D28" s="209">
        <v>0</v>
      </c>
      <c r="E28" s="209">
        <v>0</v>
      </c>
      <c r="F28" s="209">
        <v>0</v>
      </c>
      <c r="G28" s="209">
        <v>253.23</v>
      </c>
      <c r="H28" s="132">
        <v>273.8</v>
      </c>
      <c r="I28" s="210">
        <v>2.7309999999999999</v>
      </c>
      <c r="J28" s="210">
        <v>2.7293308362745807</v>
      </c>
      <c r="K28" s="209">
        <v>3792</v>
      </c>
      <c r="L28" s="132">
        <v>3789.13</v>
      </c>
      <c r="M28" s="88">
        <v>1388.3</v>
      </c>
    </row>
    <row r="29" spans="1:13" s="88" customFormat="1" ht="32.25" customHeight="1" x14ac:dyDescent="0.2">
      <c r="A29" s="209" t="s">
        <v>200</v>
      </c>
      <c r="B29" s="211" t="s">
        <v>219</v>
      </c>
      <c r="C29" s="209">
        <v>0</v>
      </c>
      <c r="D29" s="209">
        <v>0</v>
      </c>
      <c r="E29" s="209">
        <v>0</v>
      </c>
      <c r="F29" s="209">
        <v>0</v>
      </c>
      <c r="G29" s="209">
        <v>282.51</v>
      </c>
      <c r="H29" s="209">
        <v>284.2</v>
      </c>
      <c r="I29" s="209">
        <v>2.9209999999999998</v>
      </c>
      <c r="J29" s="209">
        <v>2.9649999999999999</v>
      </c>
      <c r="K29" s="209">
        <v>3390</v>
      </c>
      <c r="L29" s="132">
        <v>3357.71</v>
      </c>
      <c r="M29" s="88">
        <v>1160.5</v>
      </c>
    </row>
    <row r="30" spans="1:13" s="88" customFormat="1" ht="19.5" customHeight="1" x14ac:dyDescent="0.2">
      <c r="A30" s="209" t="s">
        <v>201</v>
      </c>
      <c r="B30" s="211" t="s">
        <v>220</v>
      </c>
      <c r="C30" s="209">
        <v>0</v>
      </c>
      <c r="D30" s="209">
        <v>0</v>
      </c>
      <c r="E30" s="209">
        <v>0</v>
      </c>
      <c r="F30" s="209">
        <v>0</v>
      </c>
      <c r="G30" s="209">
        <v>225.2</v>
      </c>
      <c r="H30" s="132">
        <v>231.9</v>
      </c>
      <c r="I30" s="134">
        <v>2.7240000000000002</v>
      </c>
      <c r="J30" s="132">
        <v>2.9649999999999999</v>
      </c>
      <c r="K30" s="209">
        <v>1345</v>
      </c>
      <c r="L30" s="132">
        <v>1311.86</v>
      </c>
      <c r="M30" s="88">
        <v>538.4</v>
      </c>
    </row>
    <row r="31" spans="1:13" s="88" customFormat="1" ht="21" customHeight="1" x14ac:dyDescent="0.2">
      <c r="A31" s="209" t="s">
        <v>202</v>
      </c>
      <c r="B31" s="211" t="s">
        <v>221</v>
      </c>
      <c r="C31" s="209">
        <v>0</v>
      </c>
      <c r="D31" s="209">
        <v>0</v>
      </c>
      <c r="E31" s="209">
        <v>0</v>
      </c>
      <c r="F31" s="209">
        <v>0</v>
      </c>
      <c r="G31" s="209">
        <v>158.69999999999999</v>
      </c>
      <c r="H31" s="209">
        <v>158.30000000000001</v>
      </c>
      <c r="I31" s="210">
        <v>2.2509999999999999</v>
      </c>
      <c r="J31" s="210">
        <v>2.8406480808765315</v>
      </c>
      <c r="K31" s="209">
        <v>1382</v>
      </c>
      <c r="L31" s="209">
        <v>1743.8</v>
      </c>
      <c r="M31" s="88">
        <v>613.87400000000002</v>
      </c>
    </row>
    <row r="32" spans="1:13" s="88" customFormat="1" ht="23.25" customHeight="1" x14ac:dyDescent="0.2">
      <c r="A32" s="209" t="s">
        <v>203</v>
      </c>
      <c r="B32" s="211" t="s">
        <v>427</v>
      </c>
      <c r="C32" s="209">
        <v>0</v>
      </c>
      <c r="D32" s="209">
        <v>0</v>
      </c>
      <c r="E32" s="209">
        <v>0</v>
      </c>
      <c r="F32" s="209">
        <v>0</v>
      </c>
      <c r="G32" s="209">
        <v>261.2</v>
      </c>
      <c r="H32" s="132">
        <v>237.8</v>
      </c>
      <c r="I32" s="210">
        <v>3.198</v>
      </c>
      <c r="J32" s="210">
        <v>3.592731829573935</v>
      </c>
      <c r="K32" s="209">
        <v>2169</v>
      </c>
      <c r="L32" s="132">
        <v>2436.9499999999998</v>
      </c>
      <c r="M32" s="88">
        <v>678.3</v>
      </c>
    </row>
    <row r="33" spans="1:13" s="88" customFormat="1" ht="21" customHeight="1" x14ac:dyDescent="0.2">
      <c r="A33" s="209" t="s">
        <v>396</v>
      </c>
      <c r="B33" s="211" t="s">
        <v>429</v>
      </c>
      <c r="C33" s="209">
        <v>0</v>
      </c>
      <c r="D33" s="209">
        <v>0</v>
      </c>
      <c r="E33" s="209">
        <v>0</v>
      </c>
      <c r="F33" s="209">
        <v>0</v>
      </c>
      <c r="G33" s="209">
        <v>253.23</v>
      </c>
      <c r="H33" s="132">
        <v>273.8</v>
      </c>
      <c r="I33" s="210">
        <v>2.7309999999999999</v>
      </c>
      <c r="J33" s="210">
        <v>2.7293308362745807</v>
      </c>
      <c r="K33" s="209">
        <v>3792</v>
      </c>
      <c r="L33" s="132">
        <v>3789.13</v>
      </c>
      <c r="M33" s="88">
        <v>1388.3</v>
      </c>
    </row>
    <row r="34" spans="1:13" s="88" customFormat="1" ht="21" customHeight="1" x14ac:dyDescent="0.2">
      <c r="A34" s="209" t="s">
        <v>204</v>
      </c>
      <c r="B34" s="211" t="s">
        <v>430</v>
      </c>
      <c r="C34" s="209">
        <v>0</v>
      </c>
      <c r="D34" s="209">
        <v>0</v>
      </c>
      <c r="E34" s="209">
        <v>0</v>
      </c>
      <c r="F34" s="209">
        <v>0</v>
      </c>
      <c r="G34" s="209">
        <v>282.51</v>
      </c>
      <c r="H34" s="209">
        <v>284.2</v>
      </c>
      <c r="I34" s="209">
        <v>2.9209999999999998</v>
      </c>
      <c r="J34" s="209">
        <v>2.9649999999999999</v>
      </c>
      <c r="K34" s="209">
        <v>3390</v>
      </c>
      <c r="L34" s="132">
        <v>3357.71</v>
      </c>
      <c r="M34" s="88">
        <v>1160.5</v>
      </c>
    </row>
    <row r="35" spans="1:13" s="88" customFormat="1" ht="23.25" customHeight="1" x14ac:dyDescent="0.2">
      <c r="A35" s="209" t="s">
        <v>205</v>
      </c>
      <c r="B35" s="211" t="s">
        <v>431</v>
      </c>
      <c r="C35" s="209">
        <v>0</v>
      </c>
      <c r="D35" s="209">
        <v>0</v>
      </c>
      <c r="E35" s="209">
        <v>0</v>
      </c>
      <c r="F35" s="209">
        <v>0</v>
      </c>
      <c r="G35" s="209">
        <v>282.51</v>
      </c>
      <c r="H35" s="209">
        <v>284.2</v>
      </c>
      <c r="I35" s="209">
        <v>2.9209999999999998</v>
      </c>
      <c r="J35" s="209">
        <v>2.9649999999999999</v>
      </c>
      <c r="K35" s="209">
        <v>3390</v>
      </c>
      <c r="L35" s="132">
        <v>3357.71</v>
      </c>
      <c r="M35" s="88">
        <v>1160.5</v>
      </c>
    </row>
    <row r="36" spans="1:13" s="88" customFormat="1" ht="23.25" customHeight="1" x14ac:dyDescent="0.2">
      <c r="A36" s="209" t="s">
        <v>206</v>
      </c>
      <c r="B36" s="211" t="s">
        <v>433</v>
      </c>
      <c r="C36" s="209">
        <v>0</v>
      </c>
      <c r="D36" s="209">
        <v>0</v>
      </c>
      <c r="E36" s="209">
        <v>0</v>
      </c>
      <c r="F36" s="209">
        <v>0</v>
      </c>
      <c r="G36" s="209">
        <v>282.51</v>
      </c>
      <c r="H36" s="209">
        <v>284.2</v>
      </c>
      <c r="I36" s="209">
        <v>2.9209999999999998</v>
      </c>
      <c r="J36" s="209">
        <v>2.9649999999999999</v>
      </c>
      <c r="K36" s="209">
        <v>3390</v>
      </c>
      <c r="L36" s="132">
        <v>3357.71</v>
      </c>
      <c r="M36" s="88">
        <v>1160.5</v>
      </c>
    </row>
    <row r="37" spans="1:13" s="88" customFormat="1" ht="10.5" x14ac:dyDescent="0.2">
      <c r="A37" s="436" t="s">
        <v>20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8"/>
    </row>
    <row r="38" spans="1:13" s="88" customFormat="1" ht="32.25" customHeight="1" x14ac:dyDescent="0.2">
      <c r="A38" s="209" t="s">
        <v>226</v>
      </c>
      <c r="B38" s="211" t="s">
        <v>83</v>
      </c>
      <c r="C38" s="209">
        <v>0</v>
      </c>
      <c r="D38" s="209">
        <v>0</v>
      </c>
      <c r="E38" s="209">
        <v>0</v>
      </c>
      <c r="F38" s="209">
        <v>0</v>
      </c>
      <c r="G38" s="209">
        <v>242.74</v>
      </c>
      <c r="H38" s="209">
        <v>261.2</v>
      </c>
      <c r="I38" s="210">
        <v>2.8279999999999998</v>
      </c>
      <c r="J38" s="210">
        <v>2.7503611412062119</v>
      </c>
      <c r="K38" s="209">
        <v>1566</v>
      </c>
      <c r="L38" s="209">
        <v>1523.15</v>
      </c>
      <c r="M38" s="88">
        <v>553.79999999999995</v>
      </c>
    </row>
    <row r="39" spans="1:13" s="88" customFormat="1" ht="42" customHeight="1" x14ac:dyDescent="0.2">
      <c r="A39" s="209" t="s">
        <v>227</v>
      </c>
      <c r="B39" s="211" t="s">
        <v>222</v>
      </c>
      <c r="C39" s="209">
        <v>0</v>
      </c>
      <c r="D39" s="209">
        <v>0</v>
      </c>
      <c r="E39" s="209">
        <v>0</v>
      </c>
      <c r="F39" s="209">
        <v>0</v>
      </c>
      <c r="G39" s="209">
        <v>261.2</v>
      </c>
      <c r="H39" s="132">
        <v>237.8</v>
      </c>
      <c r="I39" s="210">
        <v>3.198</v>
      </c>
      <c r="J39" s="210">
        <v>3.592731829573935</v>
      </c>
      <c r="K39" s="209">
        <v>2169</v>
      </c>
      <c r="L39" s="132">
        <v>2436.9499999999998</v>
      </c>
      <c r="M39" s="88">
        <v>678.3</v>
      </c>
    </row>
    <row r="40" spans="1:13" s="88" customFormat="1" ht="34.5" customHeight="1" x14ac:dyDescent="0.2">
      <c r="A40" s="209" t="s">
        <v>228</v>
      </c>
      <c r="B40" s="211" t="s">
        <v>84</v>
      </c>
      <c r="C40" s="209">
        <v>0</v>
      </c>
      <c r="D40" s="209">
        <v>0</v>
      </c>
      <c r="E40" s="209">
        <v>0</v>
      </c>
      <c r="F40" s="209">
        <v>0</v>
      </c>
      <c r="G40" s="209">
        <v>283.7</v>
      </c>
      <c r="H40" s="209">
        <v>282.60000000000002</v>
      </c>
      <c r="I40" s="210">
        <v>2.9710000000000001</v>
      </c>
      <c r="J40" s="210">
        <v>2.8877268319711873</v>
      </c>
      <c r="K40" s="209">
        <v>429</v>
      </c>
      <c r="L40" s="209">
        <v>416.93</v>
      </c>
      <c r="M40" s="88">
        <v>144.38</v>
      </c>
    </row>
    <row r="41" spans="1:13" s="88" customFormat="1" ht="23.25" customHeight="1" x14ac:dyDescent="0.2">
      <c r="A41" s="209" t="s">
        <v>229</v>
      </c>
      <c r="B41" s="211" t="s">
        <v>223</v>
      </c>
      <c r="C41" s="209">
        <v>0</v>
      </c>
      <c r="D41" s="209">
        <v>0</v>
      </c>
      <c r="E41" s="209">
        <v>0</v>
      </c>
      <c r="F41" s="209">
        <v>0</v>
      </c>
      <c r="G41" s="209">
        <v>255</v>
      </c>
      <c r="H41" s="132">
        <v>241.9</v>
      </c>
      <c r="I41" s="210">
        <v>2.3565372413599484</v>
      </c>
      <c r="J41" s="210">
        <v>2.5021407114180634</v>
      </c>
      <c r="K41" s="209">
        <v>1343</v>
      </c>
      <c r="L41" s="132">
        <v>1425.98</v>
      </c>
      <c r="M41" s="88">
        <v>569.904</v>
      </c>
    </row>
    <row r="43" spans="1:13" s="42" customFormat="1" ht="12" x14ac:dyDescent="0.2">
      <c r="D43" s="89"/>
      <c r="E43" s="439"/>
      <c r="F43" s="439"/>
      <c r="G43" s="2"/>
      <c r="K43" s="2"/>
    </row>
    <row r="44" spans="1:13" s="43" customFormat="1" ht="25.9" customHeight="1" x14ac:dyDescent="0.2">
      <c r="A44" s="440" t="s">
        <v>296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</row>
    <row r="45" spans="1:13" s="43" customFormat="1" ht="12" x14ac:dyDescent="0.2">
      <c r="C45" s="441" t="s">
        <v>125</v>
      </c>
      <c r="D45" s="441"/>
      <c r="E45" s="441"/>
      <c r="F45" s="441"/>
      <c r="G45" s="441"/>
      <c r="H45" s="441"/>
      <c r="I45" s="441"/>
      <c r="J45" s="91"/>
      <c r="K45" s="3"/>
    </row>
    <row r="46" spans="1:13" s="43" customFormat="1" ht="12" x14ac:dyDescent="0.2">
      <c r="C46" s="188"/>
      <c r="D46" s="91"/>
      <c r="E46" s="429"/>
      <c r="F46" s="429"/>
      <c r="G46" s="429"/>
      <c r="H46" s="429"/>
      <c r="I46" s="429"/>
      <c r="J46" s="91"/>
      <c r="K46" s="3"/>
    </row>
    <row r="47" spans="1:13" s="43" customFormat="1" ht="12" x14ac:dyDescent="0.2">
      <c r="C47" s="91"/>
      <c r="D47" s="91"/>
      <c r="E47" s="91"/>
      <c r="F47" s="91"/>
      <c r="G47" s="442"/>
      <c r="H47" s="442"/>
      <c r="I47" s="442"/>
      <c r="J47" s="91"/>
      <c r="K47" s="3"/>
    </row>
    <row r="48" spans="1:13" s="43" customFormat="1" ht="12" x14ac:dyDescent="0.2">
      <c r="G48" s="429"/>
      <c r="H48" s="429"/>
      <c r="I48" s="429"/>
      <c r="K48" s="3"/>
    </row>
  </sheetData>
  <mergeCells count="28">
    <mergeCell ref="G48:I48"/>
    <mergeCell ref="A20:L20"/>
    <mergeCell ref="A22:L22"/>
    <mergeCell ref="A23:L23"/>
    <mergeCell ref="A26:L26"/>
    <mergeCell ref="A37:L37"/>
    <mergeCell ref="E43:F43"/>
    <mergeCell ref="A44:L44"/>
    <mergeCell ref="C45:I45"/>
    <mergeCell ref="E46:F46"/>
    <mergeCell ref="G46:I46"/>
    <mergeCell ref="G47:I47"/>
    <mergeCell ref="A19:L19"/>
    <mergeCell ref="A4:L4"/>
    <mergeCell ref="A5:L5"/>
    <mergeCell ref="A6:L6"/>
    <mergeCell ref="A9:A11"/>
    <mergeCell ref="B9:B11"/>
    <mergeCell ref="C9:F9"/>
    <mergeCell ref="G9:L9"/>
    <mergeCell ref="C10:D10"/>
    <mergeCell ref="E10:F10"/>
    <mergeCell ref="G10:H10"/>
    <mergeCell ref="I10:J10"/>
    <mergeCell ref="K10:L10"/>
    <mergeCell ref="A13:L13"/>
    <mergeCell ref="A14:L14"/>
    <mergeCell ref="A16:L16"/>
  </mergeCells>
  <pageMargins left="0.19685039370078741" right="0.19685039370078741" top="0.59055118110236227" bottom="0.74803149606299213" header="0.19685039370078741" footer="0.23622047244094491"/>
  <pageSetup paperSize="9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13"/>
  <sheetViews>
    <sheetView view="pageBreakPreview" topLeftCell="A60" zoomScale="120" zoomScaleNormal="100" zoomScaleSheetLayoutView="120" workbookViewId="0">
      <selection activeCell="K87" sqref="K87:T88"/>
    </sheetView>
  </sheetViews>
  <sheetFormatPr defaultColWidth="9.5703125" defaultRowHeight="12.75" customHeight="1" outlineLevelRow="1" x14ac:dyDescent="0.2"/>
  <cols>
    <col min="1" max="1" width="4.140625" style="4" bestFit="1" customWidth="1"/>
    <col min="2" max="2" width="19" style="4" customWidth="1"/>
    <col min="3" max="3" width="15.5703125" style="4" customWidth="1"/>
    <col min="4" max="4" width="10.28515625" style="4" customWidth="1"/>
    <col min="5" max="5" width="9.5703125" style="4" customWidth="1"/>
    <col min="6" max="6" width="5.28515625" style="4" customWidth="1"/>
    <col min="7" max="7" width="8.7109375" style="4" bestFit="1" customWidth="1"/>
    <col min="8" max="8" width="9.140625" style="4" bestFit="1" customWidth="1"/>
    <col min="9" max="9" width="8.28515625" style="4" customWidth="1"/>
    <col min="10" max="10" width="8.5703125" style="4" customWidth="1"/>
    <col min="11" max="11" width="6.5703125" style="4" customWidth="1"/>
    <col min="12" max="12" width="6.7109375" style="4" customWidth="1"/>
    <col min="13" max="13" width="5.85546875" style="4" bestFit="1" customWidth="1"/>
    <col min="14" max="14" width="6.140625" style="4" customWidth="1"/>
    <col min="15" max="15" width="6.28515625" style="4" customWidth="1"/>
    <col min="16" max="17" width="6.140625" style="4" bestFit="1" customWidth="1"/>
    <col min="18" max="18" width="5.85546875" style="4" bestFit="1" customWidth="1"/>
    <col min="19" max="19" width="6.5703125" style="384" customWidth="1"/>
    <col min="20" max="20" width="6.5703125" style="4" customWidth="1"/>
    <col min="21" max="21" width="13.7109375" style="4" hidden="1" customWidth="1"/>
    <col min="22" max="22" width="16.5703125" style="4" hidden="1" customWidth="1"/>
    <col min="23" max="16384" width="9.5703125" style="4"/>
  </cols>
  <sheetData>
    <row r="1" spans="1:20" ht="15" x14ac:dyDescent="0.25">
      <c r="N1" s="127" t="s">
        <v>534</v>
      </c>
      <c r="O1" s="2"/>
      <c r="P1" s="2"/>
      <c r="Q1" s="2"/>
      <c r="R1" s="301"/>
      <c r="S1" s="372"/>
      <c r="T1" s="301"/>
    </row>
    <row r="2" spans="1:20" ht="15" x14ac:dyDescent="0.25">
      <c r="N2" s="127" t="s">
        <v>531</v>
      </c>
      <c r="O2" s="3"/>
      <c r="P2" s="3"/>
      <c r="Q2" s="3"/>
      <c r="R2" s="301"/>
      <c r="S2" s="372"/>
      <c r="T2" s="301"/>
    </row>
    <row r="3" spans="1:20" ht="16.899999999999999" customHeight="1" x14ac:dyDescent="0.25">
      <c r="N3" s="127" t="s">
        <v>532</v>
      </c>
      <c r="O3" s="3"/>
      <c r="P3" s="3"/>
      <c r="Q3" s="3"/>
      <c r="R3" s="301"/>
      <c r="S3" s="372"/>
      <c r="T3" s="301"/>
    </row>
    <row r="4" spans="1:20" ht="14.25" customHeight="1" x14ac:dyDescent="0.25">
      <c r="N4" s="127" t="s">
        <v>580</v>
      </c>
      <c r="O4" s="3"/>
      <c r="P4" s="3"/>
      <c r="Q4" s="3"/>
      <c r="R4" s="301"/>
      <c r="S4" s="372"/>
      <c r="T4" s="301"/>
    </row>
    <row r="5" spans="1:20" ht="14.25" customHeight="1" x14ac:dyDescent="0.25">
      <c r="N5" s="127"/>
      <c r="O5" s="3"/>
      <c r="P5" s="3"/>
      <c r="Q5" s="3"/>
      <c r="R5" s="301"/>
      <c r="S5" s="372"/>
      <c r="T5" s="301"/>
    </row>
    <row r="6" spans="1:20" s="2" customFormat="1" ht="18" customHeight="1" x14ac:dyDescent="0.25">
      <c r="N6" s="127" t="s">
        <v>544</v>
      </c>
      <c r="R6" s="301"/>
      <c r="S6" s="372"/>
      <c r="T6" s="301"/>
    </row>
    <row r="7" spans="1:20" s="3" customFormat="1" ht="15" outlineLevel="1" x14ac:dyDescent="0.25">
      <c r="N7" s="127" t="s">
        <v>531</v>
      </c>
      <c r="R7" s="301"/>
      <c r="S7" s="372"/>
      <c r="T7" s="301"/>
    </row>
    <row r="8" spans="1:20" s="3" customFormat="1" ht="15" outlineLevel="1" x14ac:dyDescent="0.25">
      <c r="N8" s="127" t="s">
        <v>532</v>
      </c>
      <c r="R8" s="301"/>
      <c r="S8" s="372"/>
      <c r="T8" s="301"/>
    </row>
    <row r="9" spans="1:20" s="3" customFormat="1" ht="15" outlineLevel="1" x14ac:dyDescent="0.25">
      <c r="N9" s="127" t="s">
        <v>540</v>
      </c>
      <c r="R9" s="301"/>
      <c r="S9" s="372"/>
      <c r="T9" s="301"/>
    </row>
    <row r="10" spans="1:20" s="3" customFormat="1" ht="12" outlineLevel="1" x14ac:dyDescent="0.2">
      <c r="Q10" s="301"/>
      <c r="R10" s="301"/>
      <c r="S10" s="372"/>
      <c r="T10" s="301"/>
    </row>
    <row r="11" spans="1:20" s="10" customFormat="1" ht="15.75" outlineLevel="1" x14ac:dyDescent="0.25">
      <c r="B11" s="292"/>
      <c r="C11" s="292"/>
      <c r="D11" s="292"/>
      <c r="E11" s="292"/>
      <c r="F11" s="292"/>
      <c r="G11" s="292" t="s">
        <v>33</v>
      </c>
      <c r="H11" s="292"/>
      <c r="I11" s="292"/>
      <c r="J11" s="292"/>
      <c r="K11" s="348"/>
      <c r="L11" s="348"/>
      <c r="M11" s="348"/>
      <c r="N11" s="348"/>
      <c r="O11" s="348"/>
      <c r="P11" s="348"/>
      <c r="Q11" s="301"/>
      <c r="R11" s="348"/>
      <c r="S11" s="373"/>
      <c r="T11" s="348"/>
    </row>
    <row r="12" spans="1:20" s="10" customFormat="1" ht="15.75" outlineLevel="1" x14ac:dyDescent="0.25">
      <c r="B12" s="292"/>
      <c r="C12" s="292"/>
      <c r="D12" s="292"/>
      <c r="F12" s="292"/>
      <c r="G12" s="292" t="s">
        <v>113</v>
      </c>
      <c r="H12" s="292"/>
      <c r="I12" s="292"/>
      <c r="J12" s="292"/>
      <c r="K12" s="348"/>
      <c r="L12" s="348"/>
      <c r="M12" s="348"/>
      <c r="N12" s="348"/>
      <c r="O12" s="348"/>
      <c r="P12" s="348"/>
      <c r="Q12" s="301"/>
      <c r="R12" s="348"/>
      <c r="S12" s="373"/>
      <c r="T12" s="348"/>
    </row>
    <row r="13" spans="1:20" s="8" customFormat="1" ht="15.75" outlineLevel="1" x14ac:dyDescent="0.2">
      <c r="B13" s="293"/>
      <c r="C13" s="293"/>
      <c r="D13" s="293"/>
      <c r="E13" s="293"/>
      <c r="F13" s="293"/>
      <c r="G13" s="293" t="s">
        <v>147</v>
      </c>
      <c r="H13" s="293"/>
      <c r="I13" s="293"/>
      <c r="J13" s="293"/>
      <c r="K13" s="349"/>
      <c r="L13" s="349"/>
      <c r="M13" s="349"/>
      <c r="N13" s="349"/>
      <c r="O13" s="349"/>
      <c r="P13" s="349"/>
      <c r="Q13" s="301"/>
      <c r="R13" s="349"/>
      <c r="S13" s="374"/>
      <c r="T13" s="349"/>
    </row>
    <row r="14" spans="1:20" s="10" customFormat="1" outlineLevel="1" x14ac:dyDescent="0.2">
      <c r="I14" s="454"/>
      <c r="J14" s="454"/>
      <c r="Q14" s="301"/>
      <c r="S14" s="375"/>
    </row>
    <row r="15" spans="1:20" s="371" customFormat="1" x14ac:dyDescent="0.2">
      <c r="A15" s="455" t="s">
        <v>575</v>
      </c>
      <c r="B15" s="455"/>
      <c r="C15" s="455"/>
      <c r="D15" s="455"/>
      <c r="E15" s="455"/>
    </row>
    <row r="16" spans="1:20" s="13" customFormat="1" ht="9" customHeight="1" x14ac:dyDescent="0.2">
      <c r="A16" s="445" t="s">
        <v>0</v>
      </c>
      <c r="B16" s="445" t="s">
        <v>6</v>
      </c>
      <c r="C16" s="445" t="s">
        <v>48</v>
      </c>
      <c r="D16" s="445" t="s">
        <v>47</v>
      </c>
      <c r="E16" s="456" t="s">
        <v>1</v>
      </c>
      <c r="F16" s="457"/>
      <c r="G16" s="457"/>
      <c r="H16" s="457"/>
      <c r="I16" s="445" t="s">
        <v>40</v>
      </c>
      <c r="J16" s="445" t="s">
        <v>41</v>
      </c>
      <c r="K16" s="449" t="s">
        <v>3</v>
      </c>
      <c r="L16" s="449"/>
      <c r="M16" s="449"/>
      <c r="N16" s="449"/>
      <c r="O16" s="449"/>
      <c r="P16" s="449"/>
      <c r="Q16" s="449"/>
      <c r="R16" s="449"/>
      <c r="S16" s="449"/>
      <c r="T16" s="449"/>
    </row>
    <row r="17" spans="1:23" s="13" customFormat="1" ht="9" customHeight="1" x14ac:dyDescent="0.2">
      <c r="A17" s="446"/>
      <c r="B17" s="446"/>
      <c r="C17" s="446"/>
      <c r="D17" s="446"/>
      <c r="E17" s="16" t="s">
        <v>42</v>
      </c>
      <c r="F17" s="462" t="s">
        <v>7</v>
      </c>
      <c r="G17" s="456" t="s">
        <v>2</v>
      </c>
      <c r="H17" s="457"/>
      <c r="I17" s="446"/>
      <c r="J17" s="446"/>
      <c r="K17" s="401" t="s">
        <v>4</v>
      </c>
      <c r="L17" s="401" t="s">
        <v>146</v>
      </c>
      <c r="M17" s="450"/>
      <c r="N17" s="450"/>
      <c r="O17" s="450"/>
      <c r="P17" s="450"/>
      <c r="Q17" s="450"/>
      <c r="R17" s="451"/>
      <c r="S17" s="448" t="s">
        <v>5</v>
      </c>
      <c r="T17" s="401" t="s">
        <v>35</v>
      </c>
    </row>
    <row r="18" spans="1:23" s="13" customFormat="1" ht="10.5" x14ac:dyDescent="0.2">
      <c r="A18" s="446"/>
      <c r="B18" s="446"/>
      <c r="C18" s="446"/>
      <c r="D18" s="446"/>
      <c r="E18" s="14" t="s">
        <v>43</v>
      </c>
      <c r="F18" s="463"/>
      <c r="G18" s="16" t="s">
        <v>39</v>
      </c>
      <c r="H18" s="16" t="s">
        <v>36</v>
      </c>
      <c r="I18" s="446"/>
      <c r="J18" s="446"/>
      <c r="K18" s="401"/>
      <c r="L18" s="401"/>
      <c r="M18" s="443" t="s">
        <v>106</v>
      </c>
      <c r="N18" s="443" t="s">
        <v>110</v>
      </c>
      <c r="O18" s="443" t="s">
        <v>138</v>
      </c>
      <c r="P18" s="443" t="s">
        <v>142</v>
      </c>
      <c r="Q18" s="443" t="s">
        <v>143</v>
      </c>
      <c r="R18" s="443" t="s">
        <v>144</v>
      </c>
      <c r="S18" s="448"/>
      <c r="T18" s="401"/>
    </row>
    <row r="19" spans="1:23" s="13" customFormat="1" ht="9" customHeight="1" x14ac:dyDescent="0.2">
      <c r="A19" s="446"/>
      <c r="B19" s="446"/>
      <c r="C19" s="446"/>
      <c r="D19" s="446"/>
      <c r="E19" s="14" t="s">
        <v>44</v>
      </c>
      <c r="F19" s="463"/>
      <c r="G19" s="14" t="s">
        <v>37</v>
      </c>
      <c r="H19" s="14" t="s">
        <v>37</v>
      </c>
      <c r="I19" s="446"/>
      <c r="J19" s="446"/>
      <c r="K19" s="401"/>
      <c r="L19" s="401"/>
      <c r="M19" s="443"/>
      <c r="N19" s="443"/>
      <c r="O19" s="443"/>
      <c r="P19" s="443"/>
      <c r="Q19" s="444"/>
      <c r="R19" s="444"/>
      <c r="S19" s="448"/>
      <c r="T19" s="401"/>
    </row>
    <row r="20" spans="1:23" s="13" customFormat="1" ht="10.5" x14ac:dyDescent="0.2">
      <c r="A20" s="446"/>
      <c r="B20" s="446"/>
      <c r="C20" s="446"/>
      <c r="D20" s="446"/>
      <c r="E20" s="14" t="s">
        <v>45</v>
      </c>
      <c r="F20" s="463"/>
      <c r="G20" s="14" t="s">
        <v>38</v>
      </c>
      <c r="H20" s="14" t="s">
        <v>38</v>
      </c>
      <c r="I20" s="446"/>
      <c r="J20" s="446"/>
      <c r="K20" s="401"/>
      <c r="L20" s="401"/>
      <c r="M20" s="443"/>
      <c r="N20" s="443"/>
      <c r="O20" s="443"/>
      <c r="P20" s="443"/>
      <c r="Q20" s="444"/>
      <c r="R20" s="444"/>
      <c r="S20" s="448"/>
      <c r="T20" s="401"/>
    </row>
    <row r="21" spans="1:23" s="13" customFormat="1" ht="10.5" x14ac:dyDescent="0.2">
      <c r="A21" s="447"/>
      <c r="B21" s="447"/>
      <c r="C21" s="447"/>
      <c r="D21" s="447"/>
      <c r="E21" s="17" t="s">
        <v>46</v>
      </c>
      <c r="F21" s="464"/>
      <c r="G21" s="17"/>
      <c r="H21" s="17"/>
      <c r="I21" s="447"/>
      <c r="J21" s="447"/>
      <c r="K21" s="401"/>
      <c r="L21" s="401"/>
      <c r="M21" s="443"/>
      <c r="N21" s="443"/>
      <c r="O21" s="443"/>
      <c r="P21" s="443"/>
      <c r="Q21" s="444"/>
      <c r="R21" s="444"/>
      <c r="S21" s="448"/>
      <c r="T21" s="401"/>
    </row>
    <row r="22" spans="1:23" s="1" customFormat="1" ht="9" customHeight="1" x14ac:dyDescent="0.2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  <c r="I22" s="15">
        <v>9</v>
      </c>
      <c r="J22" s="15">
        <v>10</v>
      </c>
      <c r="K22" s="54">
        <v>11</v>
      </c>
      <c r="L22" s="54">
        <v>12</v>
      </c>
      <c r="M22" s="54">
        <v>13</v>
      </c>
      <c r="N22" s="54">
        <v>14</v>
      </c>
      <c r="O22" s="54">
        <v>15</v>
      </c>
      <c r="P22" s="54">
        <v>16</v>
      </c>
      <c r="Q22" s="54">
        <v>17</v>
      </c>
      <c r="R22" s="54">
        <v>18</v>
      </c>
      <c r="S22" s="376">
        <v>19</v>
      </c>
      <c r="T22" s="54">
        <v>20</v>
      </c>
    </row>
    <row r="23" spans="1:23" s="13" customFormat="1" ht="9" customHeight="1" x14ac:dyDescent="0.2">
      <c r="A23" s="465" t="s">
        <v>31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</row>
    <row r="24" spans="1:23" s="1" customFormat="1" ht="10.5" x14ac:dyDescent="0.2">
      <c r="A24" s="415" t="s">
        <v>8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</row>
    <row r="25" spans="1:23" s="61" customFormat="1" ht="24.75" customHeight="1" x14ac:dyDescent="0.2">
      <c r="A25" s="58" t="s">
        <v>9</v>
      </c>
      <c r="B25" s="59" t="s">
        <v>326</v>
      </c>
      <c r="C25" s="59" t="s">
        <v>149</v>
      </c>
      <c r="D25" s="59" t="s">
        <v>150</v>
      </c>
      <c r="E25" s="59" t="s">
        <v>45</v>
      </c>
      <c r="F25" s="46" t="s">
        <v>151</v>
      </c>
      <c r="G25" s="46">
        <v>0</v>
      </c>
      <c r="H25" s="58" t="s">
        <v>325</v>
      </c>
      <c r="I25" s="45" t="s">
        <v>78</v>
      </c>
      <c r="J25" s="45" t="s">
        <v>79</v>
      </c>
      <c r="K25" s="98">
        <v>125498.6611663528</v>
      </c>
      <c r="L25" s="60">
        <f>K25</f>
        <v>125498.6611663528</v>
      </c>
      <c r="M25" s="60"/>
      <c r="N25" s="60"/>
      <c r="O25" s="60"/>
      <c r="P25" s="60"/>
      <c r="Q25" s="60"/>
      <c r="R25" s="63"/>
      <c r="S25" s="368"/>
      <c r="T25" s="63"/>
      <c r="U25" s="93" t="s">
        <v>136</v>
      </c>
      <c r="V25" s="93" t="s">
        <v>137</v>
      </c>
      <c r="W25" s="94"/>
    </row>
    <row r="26" spans="1:23" s="1" customFormat="1" ht="9.75" customHeight="1" x14ac:dyDescent="0.2">
      <c r="A26" s="415" t="s">
        <v>50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</row>
    <row r="27" spans="1:23" s="53" customFormat="1" ht="52.5" x14ac:dyDescent="0.2">
      <c r="A27" s="99" t="s">
        <v>127</v>
      </c>
      <c r="B27" s="59" t="s">
        <v>152</v>
      </c>
      <c r="C27" s="59" t="s">
        <v>149</v>
      </c>
      <c r="D27" s="59" t="s">
        <v>150</v>
      </c>
      <c r="E27" s="59" t="s">
        <v>153</v>
      </c>
      <c r="F27" s="46" t="s">
        <v>154</v>
      </c>
      <c r="G27" s="46">
        <v>0</v>
      </c>
      <c r="H27" s="46">
        <v>4.47</v>
      </c>
      <c r="I27" s="45" t="s">
        <v>78</v>
      </c>
      <c r="J27" s="45" t="s">
        <v>79</v>
      </c>
      <c r="K27" s="98">
        <v>55806.746986259663</v>
      </c>
      <c r="L27" s="60">
        <f>K27</f>
        <v>55806.746986259663</v>
      </c>
      <c r="M27" s="60"/>
      <c r="N27" s="60"/>
      <c r="O27" s="60"/>
      <c r="P27" s="60"/>
      <c r="Q27" s="60"/>
      <c r="R27" s="63"/>
      <c r="S27" s="368"/>
      <c r="T27" s="63"/>
      <c r="V27" s="93" t="s">
        <v>137</v>
      </c>
      <c r="W27" s="94"/>
    </row>
    <row r="28" spans="1:23" s="53" customFormat="1" ht="42" x14ac:dyDescent="0.2">
      <c r="A28" s="45" t="s">
        <v>128</v>
      </c>
      <c r="B28" s="59" t="s">
        <v>155</v>
      </c>
      <c r="C28" s="59" t="s">
        <v>149</v>
      </c>
      <c r="D28" s="59" t="s">
        <v>150</v>
      </c>
      <c r="E28" s="59" t="s">
        <v>153</v>
      </c>
      <c r="F28" s="46" t="s">
        <v>154</v>
      </c>
      <c r="G28" s="46">
        <v>0</v>
      </c>
      <c r="H28" s="46">
        <v>4.47</v>
      </c>
      <c r="I28" s="45" t="s">
        <v>78</v>
      </c>
      <c r="J28" s="45" t="s">
        <v>79</v>
      </c>
      <c r="K28" s="98">
        <v>20075.70303078751</v>
      </c>
      <c r="L28" s="63">
        <f>K28</f>
        <v>20075.70303078751</v>
      </c>
      <c r="M28" s="63"/>
      <c r="N28" s="63"/>
      <c r="O28" s="63"/>
      <c r="P28" s="60"/>
      <c r="Q28" s="60"/>
      <c r="R28" s="63"/>
      <c r="S28" s="368"/>
      <c r="T28" s="63"/>
      <c r="V28" s="93"/>
      <c r="W28" s="94"/>
    </row>
    <row r="29" spans="1:23" s="1" customFormat="1" ht="10.5" x14ac:dyDescent="0.2">
      <c r="A29" s="415" t="s">
        <v>12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</row>
    <row r="30" spans="1:23" s="1" customFormat="1" ht="9" hidden="1" customHeight="1" x14ac:dyDescent="0.2">
      <c r="A30" s="415" t="s">
        <v>51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</row>
    <row r="31" spans="1:23" s="53" customFormat="1" ht="9" hidden="1" customHeight="1" x14ac:dyDescent="0.2">
      <c r="A31" s="99"/>
      <c r="B31" s="59"/>
      <c r="C31" s="59"/>
      <c r="D31" s="59"/>
      <c r="E31" s="59"/>
      <c r="F31" s="46"/>
      <c r="G31" s="46"/>
      <c r="H31" s="46"/>
      <c r="I31" s="45"/>
      <c r="J31" s="45"/>
      <c r="K31" s="60"/>
      <c r="L31" s="60"/>
      <c r="M31" s="60"/>
      <c r="N31" s="60"/>
      <c r="O31" s="60"/>
      <c r="P31" s="60"/>
      <c r="Q31" s="60"/>
      <c r="R31" s="60"/>
      <c r="S31" s="367"/>
      <c r="T31" s="60"/>
      <c r="W31" s="94"/>
    </row>
    <row r="32" spans="1:23" s="1" customFormat="1" ht="9" customHeight="1" x14ac:dyDescent="0.2">
      <c r="A32" s="461" t="s">
        <v>15</v>
      </c>
      <c r="B32" s="461"/>
      <c r="C32" s="461"/>
      <c r="D32" s="461"/>
      <c r="E32" s="461"/>
      <c r="F32" s="461"/>
      <c r="G32" s="461"/>
      <c r="H32" s="461"/>
      <c r="I32" s="461"/>
      <c r="J32" s="461"/>
      <c r="K32" s="77">
        <f>K25+K27+K28</f>
        <v>201381.11118339997</v>
      </c>
      <c r="L32" s="77">
        <f t="shared" ref="L32:T32" si="0">L25+L27+L28</f>
        <v>201381.11118339997</v>
      </c>
      <c r="M32" s="77">
        <f t="shared" si="0"/>
        <v>0</v>
      </c>
      <c r="N32" s="77">
        <f t="shared" si="0"/>
        <v>0</v>
      </c>
      <c r="O32" s="77">
        <f t="shared" si="0"/>
        <v>0</v>
      </c>
      <c r="P32" s="77">
        <f t="shared" si="0"/>
        <v>0</v>
      </c>
      <c r="Q32" s="77">
        <f t="shared" si="0"/>
        <v>0</v>
      </c>
      <c r="R32" s="77">
        <f t="shared" si="0"/>
        <v>0</v>
      </c>
      <c r="S32" s="377">
        <f t="shared" si="0"/>
        <v>0</v>
      </c>
      <c r="T32" s="77">
        <f t="shared" si="0"/>
        <v>0</v>
      </c>
    </row>
    <row r="33" spans="1:23" s="13" customFormat="1" ht="23.25" hidden="1" customHeight="1" x14ac:dyDescent="0.2">
      <c r="A33" s="465" t="s">
        <v>49</v>
      </c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</row>
    <row r="34" spans="1:23" s="53" customFormat="1" ht="10.5" hidden="1" customHeight="1" x14ac:dyDescent="0.2">
      <c r="A34" s="45"/>
      <c r="B34" s="59"/>
      <c r="C34" s="59"/>
      <c r="D34" s="59"/>
      <c r="E34" s="59"/>
      <c r="F34" s="46"/>
      <c r="G34" s="46"/>
      <c r="H34" s="46"/>
      <c r="I34" s="45"/>
      <c r="J34" s="45"/>
      <c r="K34" s="98"/>
      <c r="L34" s="60"/>
      <c r="M34" s="60"/>
      <c r="N34" s="60"/>
      <c r="O34" s="60"/>
      <c r="P34" s="60"/>
      <c r="Q34" s="60"/>
      <c r="R34" s="60"/>
      <c r="S34" s="368"/>
      <c r="T34" s="63"/>
      <c r="W34" s="94"/>
    </row>
    <row r="35" spans="1:23" s="53" customFormat="1" ht="9" hidden="1" customHeight="1" x14ac:dyDescent="0.2">
      <c r="A35" s="45"/>
      <c r="B35" s="59"/>
      <c r="C35" s="59"/>
      <c r="D35" s="59"/>
      <c r="E35" s="59"/>
      <c r="F35" s="46"/>
      <c r="G35" s="46"/>
      <c r="H35" s="46"/>
      <c r="I35" s="45"/>
      <c r="J35" s="45"/>
      <c r="K35" s="121"/>
      <c r="L35" s="60"/>
      <c r="M35" s="60"/>
      <c r="N35" s="60"/>
      <c r="O35" s="63"/>
      <c r="P35" s="60"/>
      <c r="Q35" s="60"/>
      <c r="R35" s="60"/>
      <c r="S35" s="368"/>
      <c r="T35" s="63"/>
      <c r="W35" s="94"/>
    </row>
    <row r="36" spans="1:23" s="53" customFormat="1" ht="10.5" hidden="1" customHeight="1" x14ac:dyDescent="0.2">
      <c r="A36" s="45"/>
      <c r="B36" s="59"/>
      <c r="C36" s="59"/>
      <c r="D36" s="59"/>
      <c r="E36" s="59"/>
      <c r="F36" s="46"/>
      <c r="G36" s="46"/>
      <c r="H36" s="46"/>
      <c r="I36" s="45"/>
      <c r="J36" s="45"/>
      <c r="K36" s="121"/>
      <c r="L36" s="60"/>
      <c r="M36" s="60"/>
      <c r="N36" s="60"/>
      <c r="O36" s="63"/>
      <c r="P36" s="60"/>
      <c r="Q36" s="60"/>
      <c r="R36" s="60"/>
      <c r="S36" s="368"/>
      <c r="T36" s="63"/>
      <c r="W36" s="94"/>
    </row>
    <row r="37" spans="1:23" s="1" customFormat="1" ht="11.25" hidden="1" customHeight="1" x14ac:dyDescent="0.2">
      <c r="A37" s="461" t="s">
        <v>16</v>
      </c>
      <c r="B37" s="461"/>
      <c r="C37" s="461"/>
      <c r="D37" s="461"/>
      <c r="E37" s="461"/>
      <c r="F37" s="461"/>
      <c r="G37" s="461"/>
      <c r="H37" s="461"/>
      <c r="I37" s="461"/>
      <c r="J37" s="461"/>
      <c r="K37" s="77">
        <f t="shared" ref="K37:T37" si="1">SUM(K34:K36)</f>
        <v>0</v>
      </c>
      <c r="L37" s="77">
        <f t="shared" si="1"/>
        <v>0</v>
      </c>
      <c r="M37" s="77">
        <f t="shared" si="1"/>
        <v>0</v>
      </c>
      <c r="N37" s="77">
        <f t="shared" si="1"/>
        <v>0</v>
      </c>
      <c r="O37" s="77">
        <f t="shared" si="1"/>
        <v>0</v>
      </c>
      <c r="P37" s="77">
        <f t="shared" si="1"/>
        <v>0</v>
      </c>
      <c r="Q37" s="77">
        <f t="shared" si="1"/>
        <v>0</v>
      </c>
      <c r="R37" s="77">
        <f t="shared" si="1"/>
        <v>0</v>
      </c>
      <c r="S37" s="377">
        <f t="shared" si="1"/>
        <v>0</v>
      </c>
      <c r="T37" s="77">
        <f t="shared" si="1"/>
        <v>0</v>
      </c>
    </row>
    <row r="38" spans="1:23" s="13" customFormat="1" ht="10.5" x14ac:dyDescent="0.2">
      <c r="A38" s="465" t="s">
        <v>32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</row>
    <row r="39" spans="1:23" s="1" customFormat="1" ht="10.5" x14ac:dyDescent="0.2">
      <c r="A39" s="415" t="s">
        <v>17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</row>
    <row r="40" spans="1:23" s="369" customFormat="1" ht="31.5" x14ac:dyDescent="0.2">
      <c r="A40" s="362" t="s">
        <v>160</v>
      </c>
      <c r="B40" s="363" t="s">
        <v>484</v>
      </c>
      <c r="C40" s="363" t="s">
        <v>485</v>
      </c>
      <c r="D40" s="363" t="s">
        <v>486</v>
      </c>
      <c r="E40" s="363" t="s">
        <v>45</v>
      </c>
      <c r="F40" s="364" t="s">
        <v>487</v>
      </c>
      <c r="G40" s="364" t="s">
        <v>488</v>
      </c>
      <c r="H40" s="364" t="str">
        <f>G40</f>
        <v>2,659км х2</v>
      </c>
      <c r="I40" s="365" t="s">
        <v>143</v>
      </c>
      <c r="J40" s="365" t="s">
        <v>144</v>
      </c>
      <c r="K40" s="366">
        <v>11955.319997048198</v>
      </c>
      <c r="L40" s="367"/>
      <c r="M40" s="367"/>
      <c r="N40" s="367"/>
      <c r="O40" s="367"/>
      <c r="P40" s="367"/>
      <c r="Q40" s="367"/>
      <c r="R40" s="367"/>
      <c r="S40" s="367">
        <f>K40</f>
        <v>11955.319997048198</v>
      </c>
      <c r="T40" s="368"/>
      <c r="W40" s="370">
        <f>K40-S40</f>
        <v>0</v>
      </c>
    </row>
    <row r="41" spans="1:23" s="1" customFormat="1" ht="10.5" hidden="1" x14ac:dyDescent="0.2">
      <c r="A41" s="58"/>
      <c r="B41" s="59"/>
      <c r="C41" s="59"/>
      <c r="D41" s="59"/>
      <c r="E41" s="59"/>
      <c r="F41" s="46"/>
      <c r="G41" s="46"/>
      <c r="H41" s="46"/>
      <c r="I41" s="45"/>
      <c r="J41" s="45"/>
      <c r="K41" s="60"/>
      <c r="L41" s="60"/>
      <c r="M41" s="60"/>
      <c r="N41" s="60"/>
      <c r="O41" s="60"/>
      <c r="P41" s="60"/>
      <c r="Q41" s="60"/>
      <c r="R41" s="63"/>
      <c r="S41" s="368"/>
      <c r="T41" s="63"/>
    </row>
    <row r="42" spans="1:23" s="53" customFormat="1" ht="10.5" x14ac:dyDescent="0.2">
      <c r="A42" s="415" t="s">
        <v>18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53" t="s">
        <v>135</v>
      </c>
      <c r="W42" s="94"/>
    </row>
    <row r="43" spans="1:23" s="53" customFormat="1" ht="31.5" x14ac:dyDescent="0.2">
      <c r="A43" s="58" t="s">
        <v>198</v>
      </c>
      <c r="B43" s="59" t="s">
        <v>178</v>
      </c>
      <c r="C43" s="59" t="s">
        <v>161</v>
      </c>
      <c r="D43" s="59" t="s">
        <v>162</v>
      </c>
      <c r="E43" s="59" t="s">
        <v>163</v>
      </c>
      <c r="F43" s="46" t="s">
        <v>63</v>
      </c>
      <c r="G43" s="69" t="s">
        <v>180</v>
      </c>
      <c r="H43" s="69" t="s">
        <v>180</v>
      </c>
      <c r="I43" s="45" t="s">
        <v>138</v>
      </c>
      <c r="J43" s="45" t="s">
        <v>138</v>
      </c>
      <c r="K43" s="598">
        <v>4198</v>
      </c>
      <c r="L43" s="63"/>
      <c r="M43" s="60"/>
      <c r="N43" s="60"/>
      <c r="O43" s="599">
        <f>K43</f>
        <v>4198</v>
      </c>
      <c r="P43" s="60"/>
      <c r="Q43" s="63"/>
      <c r="R43" s="63"/>
      <c r="S43" s="368"/>
      <c r="T43" s="63"/>
      <c r="W43" s="94"/>
    </row>
    <row r="44" spans="1:23" s="53" customFormat="1" ht="52.5" x14ac:dyDescent="0.2">
      <c r="A44" s="58" t="s">
        <v>199</v>
      </c>
      <c r="B44" s="59" t="s">
        <v>489</v>
      </c>
      <c r="C44" s="59" t="s">
        <v>156</v>
      </c>
      <c r="D44" s="59" t="s">
        <v>490</v>
      </c>
      <c r="E44" s="59" t="s">
        <v>158</v>
      </c>
      <c r="F44" s="46" t="s">
        <v>159</v>
      </c>
      <c r="G44" s="46" t="s">
        <v>111</v>
      </c>
      <c r="H44" s="46">
        <v>1</v>
      </c>
      <c r="I44" s="45" t="s">
        <v>110</v>
      </c>
      <c r="J44" s="45" t="s">
        <v>110</v>
      </c>
      <c r="K44" s="98">
        <v>1300</v>
      </c>
      <c r="L44" s="60"/>
      <c r="M44" s="60"/>
      <c r="N44" s="60"/>
      <c r="O44" s="60"/>
      <c r="P44" s="60"/>
      <c r="Q44" s="60"/>
      <c r="R44" s="60"/>
      <c r="S44" s="368"/>
      <c r="T44" s="63"/>
      <c r="W44" s="94">
        <f>K44-S44</f>
        <v>1300</v>
      </c>
    </row>
    <row r="45" spans="1:23" s="53" customFormat="1" ht="52.5" x14ac:dyDescent="0.2">
      <c r="A45" s="58" t="s">
        <v>200</v>
      </c>
      <c r="B45" s="59" t="s">
        <v>181</v>
      </c>
      <c r="C45" s="59" t="s">
        <v>156</v>
      </c>
      <c r="D45" s="59" t="s">
        <v>162</v>
      </c>
      <c r="E45" s="59" t="s">
        <v>158</v>
      </c>
      <c r="F45" s="46" t="s">
        <v>159</v>
      </c>
      <c r="G45" s="46" t="s">
        <v>111</v>
      </c>
      <c r="H45" s="46">
        <v>1</v>
      </c>
      <c r="I45" s="45" t="s">
        <v>143</v>
      </c>
      <c r="J45" s="45" t="s">
        <v>143</v>
      </c>
      <c r="K45" s="594">
        <f t="shared" ref="K45:K46" si="2">SUM(L45:R45)</f>
        <v>1457.5</v>
      </c>
      <c r="L45" s="60"/>
      <c r="M45" s="60"/>
      <c r="N45" s="60"/>
      <c r="O45" s="63"/>
      <c r="P45" s="60"/>
      <c r="Q45" s="350">
        <v>1457.5</v>
      </c>
      <c r="R45" s="60"/>
      <c r="S45" s="368"/>
      <c r="T45" s="63"/>
      <c r="W45" s="94"/>
    </row>
    <row r="46" spans="1:23" s="53" customFormat="1" ht="52.5" x14ac:dyDescent="0.2">
      <c r="A46" s="58" t="s">
        <v>201</v>
      </c>
      <c r="B46" s="59" t="s">
        <v>182</v>
      </c>
      <c r="C46" s="59" t="s">
        <v>156</v>
      </c>
      <c r="D46" s="59" t="s">
        <v>162</v>
      </c>
      <c r="E46" s="59" t="s">
        <v>158</v>
      </c>
      <c r="F46" s="46" t="s">
        <v>159</v>
      </c>
      <c r="G46" s="46" t="s">
        <v>111</v>
      </c>
      <c r="H46" s="46">
        <v>1</v>
      </c>
      <c r="I46" s="45" t="s">
        <v>143</v>
      </c>
      <c r="J46" s="45" t="s">
        <v>143</v>
      </c>
      <c r="K46" s="594">
        <f t="shared" si="2"/>
        <v>1668.54</v>
      </c>
      <c r="L46" s="60"/>
      <c r="M46" s="60"/>
      <c r="N46" s="60"/>
      <c r="O46" s="63"/>
      <c r="P46" s="60"/>
      <c r="Q46" s="201">
        <v>1668.54</v>
      </c>
      <c r="R46" s="60"/>
      <c r="S46" s="368"/>
      <c r="T46" s="63"/>
      <c r="W46" s="94"/>
    </row>
    <row r="47" spans="1:23" s="53" customFormat="1" ht="27" customHeight="1" x14ac:dyDescent="0.2">
      <c r="A47" s="58" t="s">
        <v>202</v>
      </c>
      <c r="B47" s="59" t="s">
        <v>395</v>
      </c>
      <c r="C47" s="59" t="s">
        <v>156</v>
      </c>
      <c r="D47" s="59" t="s">
        <v>157</v>
      </c>
      <c r="E47" s="59" t="s">
        <v>158</v>
      </c>
      <c r="F47" s="46" t="s">
        <v>165</v>
      </c>
      <c r="G47" s="46" t="s">
        <v>111</v>
      </c>
      <c r="H47" s="46">
        <v>1</v>
      </c>
      <c r="I47" s="45" t="s">
        <v>106</v>
      </c>
      <c r="J47" s="45" t="s">
        <v>106</v>
      </c>
      <c r="K47" s="60">
        <f>SUM(L47:R47)</f>
        <v>1016.12</v>
      </c>
      <c r="L47" s="60"/>
      <c r="M47" s="60">
        <v>1016.12</v>
      </c>
      <c r="N47" s="60"/>
      <c r="O47" s="60"/>
      <c r="P47" s="60"/>
      <c r="Q47" s="63"/>
      <c r="R47" s="63"/>
      <c r="S47" s="368"/>
      <c r="T47" s="63"/>
      <c r="U47" s="53" t="s">
        <v>135</v>
      </c>
      <c r="W47" s="94"/>
    </row>
    <row r="48" spans="1:23" s="53" customFormat="1" ht="27" customHeight="1" x14ac:dyDescent="0.2">
      <c r="A48" s="58" t="s">
        <v>203</v>
      </c>
      <c r="B48" s="59" t="s">
        <v>183</v>
      </c>
      <c r="C48" s="59" t="s">
        <v>161</v>
      </c>
      <c r="D48" s="59" t="s">
        <v>162</v>
      </c>
      <c r="E48" s="59" t="s">
        <v>163</v>
      </c>
      <c r="F48" s="46" t="s">
        <v>63</v>
      </c>
      <c r="G48" s="69" t="s">
        <v>185</v>
      </c>
      <c r="H48" s="69" t="s">
        <v>185</v>
      </c>
      <c r="I48" s="45" t="s">
        <v>142</v>
      </c>
      <c r="J48" s="45" t="s">
        <v>142</v>
      </c>
      <c r="K48" s="594">
        <f t="shared" ref="K48:K51" si="3">SUM(L48:R48)</f>
        <v>2553.5</v>
      </c>
      <c r="L48" s="63"/>
      <c r="M48" s="60"/>
      <c r="N48" s="60"/>
      <c r="O48" s="123"/>
      <c r="P48" s="350">
        <v>2553.5</v>
      </c>
      <c r="Q48" s="63"/>
      <c r="R48" s="63"/>
      <c r="S48" s="368"/>
      <c r="T48" s="63"/>
      <c r="U48" s="53" t="s">
        <v>135</v>
      </c>
      <c r="W48" s="94"/>
    </row>
    <row r="49" spans="1:23" s="53" customFormat="1" ht="31.5" x14ac:dyDescent="0.2">
      <c r="A49" s="58" t="s">
        <v>396</v>
      </c>
      <c r="B49" s="59" t="s">
        <v>184</v>
      </c>
      <c r="C49" s="59" t="s">
        <v>161</v>
      </c>
      <c r="D49" s="59" t="s">
        <v>162</v>
      </c>
      <c r="E49" s="59" t="s">
        <v>163</v>
      </c>
      <c r="F49" s="46" t="s">
        <v>63</v>
      </c>
      <c r="G49" s="69" t="s">
        <v>179</v>
      </c>
      <c r="H49" s="69" t="s">
        <v>179</v>
      </c>
      <c r="I49" s="45" t="s">
        <v>142</v>
      </c>
      <c r="J49" s="45" t="s">
        <v>142</v>
      </c>
      <c r="K49" s="594">
        <f t="shared" si="3"/>
        <v>2202</v>
      </c>
      <c r="L49" s="63"/>
      <c r="M49" s="60"/>
      <c r="N49" s="60"/>
      <c r="O49" s="123"/>
      <c r="P49" s="595">
        <v>2202</v>
      </c>
      <c r="Q49" s="63"/>
      <c r="R49" s="63"/>
      <c r="S49" s="368"/>
      <c r="T49" s="63"/>
      <c r="U49" s="53" t="s">
        <v>135</v>
      </c>
      <c r="W49" s="94"/>
    </row>
    <row r="50" spans="1:23" s="53" customFormat="1" ht="31.5" x14ac:dyDescent="0.2">
      <c r="A50" s="58" t="s">
        <v>204</v>
      </c>
      <c r="B50" s="59" t="s">
        <v>186</v>
      </c>
      <c r="C50" s="59" t="s">
        <v>161</v>
      </c>
      <c r="D50" s="59" t="s">
        <v>162</v>
      </c>
      <c r="E50" s="59" t="s">
        <v>163</v>
      </c>
      <c r="F50" s="46" t="s">
        <v>63</v>
      </c>
      <c r="G50" s="69" t="s">
        <v>179</v>
      </c>
      <c r="H50" s="69" t="s">
        <v>179</v>
      </c>
      <c r="I50" s="45" t="s">
        <v>138</v>
      </c>
      <c r="J50" s="45" t="s">
        <v>138</v>
      </c>
      <c r="K50" s="598">
        <f t="shared" si="3"/>
        <v>2082.9999984502701</v>
      </c>
      <c r="L50" s="63"/>
      <c r="M50" s="60"/>
      <c r="N50" s="60"/>
      <c r="O50" s="599">
        <f>2082999.99845027/1000</f>
        <v>2082.9999984502701</v>
      </c>
      <c r="P50" s="123"/>
      <c r="Q50" s="63"/>
      <c r="R50" s="63"/>
      <c r="S50" s="368"/>
      <c r="T50" s="63"/>
      <c r="W50" s="94"/>
    </row>
    <row r="51" spans="1:23" s="53" customFormat="1" ht="25.5" customHeight="1" x14ac:dyDescent="0.2">
      <c r="A51" s="58" t="s">
        <v>205</v>
      </c>
      <c r="B51" s="59" t="s">
        <v>187</v>
      </c>
      <c r="C51" s="59" t="s">
        <v>161</v>
      </c>
      <c r="D51" s="59" t="s">
        <v>162</v>
      </c>
      <c r="E51" s="59" t="s">
        <v>163</v>
      </c>
      <c r="F51" s="46" t="s">
        <v>63</v>
      </c>
      <c r="G51" s="69" t="s">
        <v>188</v>
      </c>
      <c r="H51" s="69" t="s">
        <v>188</v>
      </c>
      <c r="I51" s="45" t="s">
        <v>138</v>
      </c>
      <c r="J51" s="45" t="s">
        <v>138</v>
      </c>
      <c r="K51" s="598">
        <f t="shared" si="3"/>
        <v>500.00002069231698</v>
      </c>
      <c r="L51" s="63"/>
      <c r="M51" s="60"/>
      <c r="N51" s="60"/>
      <c r="O51" s="599">
        <f>500000.020692317/1000</f>
        <v>500.00002069231698</v>
      </c>
      <c r="P51" s="123"/>
      <c r="Q51" s="63"/>
      <c r="R51" s="63"/>
      <c r="S51" s="368"/>
      <c r="T51" s="63"/>
      <c r="W51" s="94"/>
    </row>
    <row r="52" spans="1:23" s="53" customFormat="1" ht="24.75" customHeight="1" x14ac:dyDescent="0.2">
      <c r="A52" s="58" t="s">
        <v>206</v>
      </c>
      <c r="B52" s="59" t="s">
        <v>189</v>
      </c>
      <c r="C52" s="59" t="s">
        <v>161</v>
      </c>
      <c r="D52" s="59" t="s">
        <v>150</v>
      </c>
      <c r="E52" s="59" t="s">
        <v>163</v>
      </c>
      <c r="F52" s="46" t="s">
        <v>63</v>
      </c>
      <c r="G52" s="69" t="s">
        <v>179</v>
      </c>
      <c r="H52" s="69" t="s">
        <v>179</v>
      </c>
      <c r="I52" s="45" t="s">
        <v>106</v>
      </c>
      <c r="J52" s="45" t="s">
        <v>106</v>
      </c>
      <c r="K52" s="122">
        <f>SUM(M52:R52)</f>
        <v>1945.47001938528</v>
      </c>
      <c r="L52" s="60"/>
      <c r="M52" s="60">
        <f>1945470.01938528/1000</f>
        <v>1945.47001938528</v>
      </c>
      <c r="N52" s="60"/>
      <c r="O52" s="60"/>
      <c r="P52" s="60"/>
      <c r="Q52" s="60"/>
      <c r="R52" s="60"/>
      <c r="S52" s="367"/>
      <c r="T52" s="63"/>
      <c r="W52" s="94"/>
    </row>
    <row r="53" spans="1:23" s="53" customFormat="1" ht="24" customHeight="1" x14ac:dyDescent="0.2">
      <c r="A53" s="58" t="s">
        <v>207</v>
      </c>
      <c r="B53" s="59" t="s">
        <v>190</v>
      </c>
      <c r="C53" s="59" t="s">
        <v>161</v>
      </c>
      <c r="D53" s="59" t="s">
        <v>150</v>
      </c>
      <c r="E53" s="59" t="s">
        <v>163</v>
      </c>
      <c r="F53" s="46" t="s">
        <v>63</v>
      </c>
      <c r="G53" s="69" t="s">
        <v>179</v>
      </c>
      <c r="H53" s="69" t="s">
        <v>179</v>
      </c>
      <c r="I53" s="45" t="s">
        <v>142</v>
      </c>
      <c r="J53" s="45" t="s">
        <v>142</v>
      </c>
      <c r="K53" s="594">
        <f t="shared" ref="K53:K58" si="4">SUM(M53:R53)</f>
        <v>2218.98</v>
      </c>
      <c r="L53" s="60"/>
      <c r="M53" s="60"/>
      <c r="N53" s="60"/>
      <c r="O53" s="60"/>
      <c r="P53" s="600">
        <v>2218.98</v>
      </c>
      <c r="Q53" s="60"/>
      <c r="R53" s="60"/>
      <c r="S53" s="367"/>
      <c r="T53" s="63"/>
      <c r="W53" s="94"/>
    </row>
    <row r="54" spans="1:23" s="53" customFormat="1" ht="20.25" customHeight="1" x14ac:dyDescent="0.2">
      <c r="A54" s="58" t="s">
        <v>208</v>
      </c>
      <c r="B54" s="59" t="s">
        <v>191</v>
      </c>
      <c r="C54" s="59" t="s">
        <v>161</v>
      </c>
      <c r="D54" s="59" t="s">
        <v>150</v>
      </c>
      <c r="E54" s="59" t="s">
        <v>163</v>
      </c>
      <c r="F54" s="46" t="s">
        <v>63</v>
      </c>
      <c r="G54" s="69" t="s">
        <v>192</v>
      </c>
      <c r="H54" s="69" t="s">
        <v>192</v>
      </c>
      <c r="I54" s="45" t="s">
        <v>110</v>
      </c>
      <c r="J54" s="45" t="s">
        <v>110</v>
      </c>
      <c r="K54" s="596">
        <f t="shared" si="4"/>
        <v>1850.00000897113</v>
      </c>
      <c r="L54" s="123"/>
      <c r="M54" s="60"/>
      <c r="N54" s="601">
        <f>1850000.00897113/1000</f>
        <v>1850.00000897113</v>
      </c>
      <c r="O54" s="60"/>
      <c r="P54" s="60"/>
      <c r="Q54" s="60"/>
      <c r="R54" s="60"/>
      <c r="S54" s="367"/>
      <c r="T54" s="63"/>
      <c r="W54" s="94"/>
    </row>
    <row r="55" spans="1:23" s="53" customFormat="1" ht="42" customHeight="1" x14ac:dyDescent="0.2">
      <c r="A55" s="58" t="s">
        <v>209</v>
      </c>
      <c r="B55" s="59" t="s">
        <v>193</v>
      </c>
      <c r="C55" s="59" t="s">
        <v>161</v>
      </c>
      <c r="D55" s="59" t="s">
        <v>150</v>
      </c>
      <c r="E55" s="59" t="s">
        <v>163</v>
      </c>
      <c r="F55" s="46" t="s">
        <v>63</v>
      </c>
      <c r="G55" s="69" t="s">
        <v>194</v>
      </c>
      <c r="H55" s="69" t="s">
        <v>194</v>
      </c>
      <c r="I55" s="45" t="s">
        <v>110</v>
      </c>
      <c r="J55" s="45" t="s">
        <v>110</v>
      </c>
      <c r="K55" s="596">
        <f t="shared" si="4"/>
        <v>2021.0000213493299</v>
      </c>
      <c r="L55" s="123"/>
      <c r="M55" s="60"/>
      <c r="N55" s="597">
        <f>2021000.02134933/1000</f>
        <v>2021.0000213493299</v>
      </c>
      <c r="O55" s="60"/>
      <c r="P55" s="60"/>
      <c r="Q55" s="60"/>
      <c r="R55" s="60"/>
      <c r="S55" s="367"/>
      <c r="T55" s="63"/>
      <c r="W55" s="94"/>
    </row>
    <row r="56" spans="1:23" s="53" customFormat="1" ht="21" customHeight="1" x14ac:dyDescent="0.2">
      <c r="A56" s="58" t="s">
        <v>210</v>
      </c>
      <c r="B56" s="59" t="s">
        <v>195</v>
      </c>
      <c r="C56" s="59" t="s">
        <v>161</v>
      </c>
      <c r="D56" s="59" t="s">
        <v>150</v>
      </c>
      <c r="E56" s="59" t="s">
        <v>163</v>
      </c>
      <c r="F56" s="46" t="s">
        <v>63</v>
      </c>
      <c r="G56" s="69" t="s">
        <v>180</v>
      </c>
      <c r="H56" s="69" t="s">
        <v>180</v>
      </c>
      <c r="I56" s="45" t="s">
        <v>143</v>
      </c>
      <c r="J56" s="45" t="s">
        <v>143</v>
      </c>
      <c r="K56" s="596">
        <f t="shared" si="4"/>
        <v>4932</v>
      </c>
      <c r="L56" s="63"/>
      <c r="M56" s="60"/>
      <c r="N56" s="60"/>
      <c r="O56" s="123"/>
      <c r="P56" s="60"/>
      <c r="Q56" s="597">
        <v>4932</v>
      </c>
      <c r="R56" s="63"/>
      <c r="S56" s="368"/>
      <c r="T56" s="63"/>
      <c r="W56" s="94"/>
    </row>
    <row r="57" spans="1:23" s="53" customFormat="1" ht="31.5" x14ac:dyDescent="0.2">
      <c r="A57" s="58" t="s">
        <v>211</v>
      </c>
      <c r="B57" s="59" t="s">
        <v>196</v>
      </c>
      <c r="C57" s="59" t="s">
        <v>161</v>
      </c>
      <c r="D57" s="59" t="s">
        <v>150</v>
      </c>
      <c r="E57" s="59" t="s">
        <v>163</v>
      </c>
      <c r="F57" s="46" t="s">
        <v>63</v>
      </c>
      <c r="G57" s="69" t="s">
        <v>192</v>
      </c>
      <c r="H57" s="69" t="s">
        <v>192</v>
      </c>
      <c r="I57" s="45" t="s">
        <v>110</v>
      </c>
      <c r="J57" s="45" t="s">
        <v>110</v>
      </c>
      <c r="K57" s="596">
        <f t="shared" si="4"/>
        <v>1850.00000897113</v>
      </c>
      <c r="L57" s="123"/>
      <c r="M57" s="60"/>
      <c r="N57" s="601">
        <f>1850000.00897113/1000</f>
        <v>1850.00000897113</v>
      </c>
      <c r="O57" s="60"/>
      <c r="P57" s="60"/>
      <c r="Q57" s="60"/>
      <c r="R57" s="60"/>
      <c r="S57" s="367"/>
      <c r="T57" s="63"/>
      <c r="W57" s="94"/>
    </row>
    <row r="58" spans="1:23" s="53" customFormat="1" ht="31.5" x14ac:dyDescent="0.2">
      <c r="A58" s="58" t="s">
        <v>212</v>
      </c>
      <c r="B58" s="59" t="s">
        <v>197</v>
      </c>
      <c r="C58" s="59" t="s">
        <v>161</v>
      </c>
      <c r="D58" s="59" t="s">
        <v>150</v>
      </c>
      <c r="E58" s="59" t="s">
        <v>163</v>
      </c>
      <c r="F58" s="46" t="s">
        <v>63</v>
      </c>
      <c r="G58" s="69" t="s">
        <v>179</v>
      </c>
      <c r="H58" s="69" t="s">
        <v>179</v>
      </c>
      <c r="I58" s="45" t="s">
        <v>142</v>
      </c>
      <c r="J58" s="45" t="s">
        <v>142</v>
      </c>
      <c r="K58" s="594">
        <f t="shared" si="4"/>
        <v>2219</v>
      </c>
      <c r="L58" s="60"/>
      <c r="M58" s="60"/>
      <c r="N58" s="60"/>
      <c r="O58" s="60"/>
      <c r="P58" s="595">
        <v>2219</v>
      </c>
      <c r="Q58" s="60"/>
      <c r="R58" s="60"/>
      <c r="S58" s="367"/>
      <c r="T58" s="63"/>
      <c r="W58" s="94"/>
    </row>
    <row r="59" spans="1:23" s="53" customFormat="1" ht="31.5" x14ac:dyDescent="0.2">
      <c r="A59" s="58" t="s">
        <v>213</v>
      </c>
      <c r="B59" s="59" t="s">
        <v>166</v>
      </c>
      <c r="C59" s="59" t="s">
        <v>161</v>
      </c>
      <c r="D59" s="59" t="s">
        <v>157</v>
      </c>
      <c r="E59" s="59" t="s">
        <v>163</v>
      </c>
      <c r="F59" s="46" t="s">
        <v>63</v>
      </c>
      <c r="G59" s="69" t="s">
        <v>167</v>
      </c>
      <c r="H59" s="69" t="s">
        <v>167</v>
      </c>
      <c r="I59" s="45" t="s">
        <v>110</v>
      </c>
      <c r="J59" s="45" t="s">
        <v>110</v>
      </c>
      <c r="K59" s="602">
        <f t="shared" ref="K59:K63" si="5">SUM(L59:R59)</f>
        <v>5184.0699998700502</v>
      </c>
      <c r="L59" s="60"/>
      <c r="M59" s="60"/>
      <c r="N59" s="601">
        <f>5184069.99987005/1000</f>
        <v>5184.0699998700502</v>
      </c>
      <c r="O59" s="60"/>
      <c r="P59" s="60"/>
      <c r="Q59" s="60"/>
      <c r="R59" s="60"/>
      <c r="S59" s="367"/>
      <c r="T59" s="60"/>
      <c r="W59" s="94"/>
    </row>
    <row r="60" spans="1:23" s="53" customFormat="1" ht="42" customHeight="1" x14ac:dyDescent="0.2">
      <c r="A60" s="58" t="s">
        <v>214</v>
      </c>
      <c r="B60" s="59" t="s">
        <v>169</v>
      </c>
      <c r="C60" s="59" t="s">
        <v>161</v>
      </c>
      <c r="D60" s="59" t="s">
        <v>157</v>
      </c>
      <c r="E60" s="59" t="s">
        <v>163</v>
      </c>
      <c r="F60" s="46" t="s">
        <v>63</v>
      </c>
      <c r="G60" s="69" t="s">
        <v>168</v>
      </c>
      <c r="H60" s="69" t="s">
        <v>168</v>
      </c>
      <c r="I60" s="45" t="s">
        <v>142</v>
      </c>
      <c r="J60" s="45" t="s">
        <v>142</v>
      </c>
      <c r="K60" s="602">
        <f t="shared" si="5"/>
        <v>1637.59</v>
      </c>
      <c r="L60" s="60"/>
      <c r="M60" s="60"/>
      <c r="N60" s="60"/>
      <c r="O60" s="60"/>
      <c r="P60" s="601">
        <v>1637.59</v>
      </c>
      <c r="Q60" s="60"/>
      <c r="R60" s="60"/>
      <c r="S60" s="367"/>
      <c r="T60" s="60">
        <v>0</v>
      </c>
      <c r="W60" s="94"/>
    </row>
    <row r="61" spans="1:23" s="53" customFormat="1" ht="33" customHeight="1" x14ac:dyDescent="0.2">
      <c r="A61" s="58" t="s">
        <v>215</v>
      </c>
      <c r="B61" s="59" t="s">
        <v>170</v>
      </c>
      <c r="C61" s="59" t="s">
        <v>161</v>
      </c>
      <c r="D61" s="59" t="s">
        <v>157</v>
      </c>
      <c r="E61" s="59" t="s">
        <v>163</v>
      </c>
      <c r="F61" s="46" t="s">
        <v>63</v>
      </c>
      <c r="G61" s="69" t="s">
        <v>171</v>
      </c>
      <c r="H61" s="69" t="s">
        <v>171</v>
      </c>
      <c r="I61" s="45" t="s">
        <v>144</v>
      </c>
      <c r="J61" s="45" t="s">
        <v>144</v>
      </c>
      <c r="K61" s="600">
        <f t="shared" si="5"/>
        <v>3278.45</v>
      </c>
      <c r="L61" s="60"/>
      <c r="M61" s="60"/>
      <c r="N61" s="60"/>
      <c r="O61" s="60"/>
      <c r="P61" s="60"/>
      <c r="Q61" s="60"/>
      <c r="R61" s="201">
        <v>3278.45</v>
      </c>
      <c r="S61" s="367"/>
      <c r="T61" s="60">
        <v>0</v>
      </c>
      <c r="W61" s="94"/>
    </row>
    <row r="62" spans="1:23" s="369" customFormat="1" ht="25.5" customHeight="1" x14ac:dyDescent="0.2">
      <c r="A62" s="362" t="s">
        <v>216</v>
      </c>
      <c r="B62" s="363" t="s">
        <v>172</v>
      </c>
      <c r="C62" s="363" t="s">
        <v>161</v>
      </c>
      <c r="D62" s="363" t="s">
        <v>157</v>
      </c>
      <c r="E62" s="363" t="s">
        <v>176</v>
      </c>
      <c r="F62" s="364" t="s">
        <v>173</v>
      </c>
      <c r="G62" s="385" t="s">
        <v>174</v>
      </c>
      <c r="H62" s="385" t="s">
        <v>175</v>
      </c>
      <c r="I62" s="365" t="s">
        <v>142</v>
      </c>
      <c r="J62" s="365" t="s">
        <v>142</v>
      </c>
      <c r="K62" s="600">
        <f t="shared" si="5"/>
        <v>4514.7700000000004</v>
      </c>
      <c r="L62" s="367"/>
      <c r="M62" s="367"/>
      <c r="N62" s="367"/>
      <c r="O62" s="367"/>
      <c r="P62" s="201">
        <v>4514.7700000000004</v>
      </c>
      <c r="Q62" s="367"/>
      <c r="R62" s="367"/>
      <c r="S62" s="367"/>
      <c r="T62" s="367">
        <v>0</v>
      </c>
      <c r="W62" s="370"/>
    </row>
    <row r="63" spans="1:23" s="369" customFormat="1" ht="22.5" customHeight="1" x14ac:dyDescent="0.2">
      <c r="A63" s="362" t="s">
        <v>217</v>
      </c>
      <c r="B63" s="363" t="s">
        <v>177</v>
      </c>
      <c r="C63" s="363" t="s">
        <v>164</v>
      </c>
      <c r="D63" s="363" t="s">
        <v>157</v>
      </c>
      <c r="E63" s="363" t="s">
        <v>158</v>
      </c>
      <c r="F63" s="364" t="s">
        <v>165</v>
      </c>
      <c r="G63" s="364"/>
      <c r="H63" s="364"/>
      <c r="I63" s="365" t="s">
        <v>110</v>
      </c>
      <c r="J63" s="365" t="s">
        <v>138</v>
      </c>
      <c r="K63" s="602">
        <f t="shared" si="5"/>
        <v>6718.2900612273797</v>
      </c>
      <c r="L63" s="367"/>
      <c r="M63" s="367"/>
      <c r="N63" s="601">
        <v>1557.11986</v>
      </c>
      <c r="O63" s="601">
        <f>5161170.20122738/1000</f>
        <v>5161.1702012273799</v>
      </c>
      <c r="P63" s="367"/>
      <c r="Q63" s="367"/>
      <c r="R63" s="367"/>
      <c r="S63" s="368"/>
      <c r="T63" s="368">
        <v>0</v>
      </c>
      <c r="W63" s="370"/>
    </row>
    <row r="64" spans="1:23" s="369" customFormat="1" ht="21.75" customHeight="1" x14ac:dyDescent="0.2">
      <c r="A64" s="362" t="s">
        <v>491</v>
      </c>
      <c r="B64" s="363" t="s">
        <v>492</v>
      </c>
      <c r="C64" s="363" t="s">
        <v>161</v>
      </c>
      <c r="D64" s="363" t="s">
        <v>486</v>
      </c>
      <c r="E64" s="363" t="s">
        <v>163</v>
      </c>
      <c r="F64" s="364" t="s">
        <v>63</v>
      </c>
      <c r="G64" s="385" t="s">
        <v>493</v>
      </c>
      <c r="H64" s="385" t="s">
        <v>493</v>
      </c>
      <c r="I64" s="365" t="s">
        <v>110</v>
      </c>
      <c r="J64" s="365" t="s">
        <v>110</v>
      </c>
      <c r="K64" s="366">
        <v>1899.97831087186</v>
      </c>
      <c r="L64" s="367"/>
      <c r="M64" s="367"/>
      <c r="N64" s="367"/>
      <c r="O64" s="367"/>
      <c r="P64" s="367"/>
      <c r="Q64" s="367"/>
      <c r="R64" s="367"/>
      <c r="S64" s="367"/>
      <c r="T64" s="368"/>
      <c r="W64" s="370"/>
    </row>
    <row r="65" spans="1:24" s="369" customFormat="1" ht="21" customHeight="1" x14ac:dyDescent="0.2">
      <c r="A65" s="362" t="s">
        <v>494</v>
      </c>
      <c r="B65" s="363" t="s">
        <v>495</v>
      </c>
      <c r="C65" s="363" t="s">
        <v>161</v>
      </c>
      <c r="D65" s="363" t="s">
        <v>486</v>
      </c>
      <c r="E65" s="363" t="s">
        <v>163</v>
      </c>
      <c r="F65" s="364" t="s">
        <v>63</v>
      </c>
      <c r="G65" s="385" t="s">
        <v>496</v>
      </c>
      <c r="H65" s="385" t="s">
        <v>496</v>
      </c>
      <c r="I65" s="365" t="s">
        <v>138</v>
      </c>
      <c r="J65" s="365" t="s">
        <v>138</v>
      </c>
      <c r="K65" s="366">
        <v>2259.99317816651</v>
      </c>
      <c r="L65" s="367"/>
      <c r="M65" s="367"/>
      <c r="N65" s="367"/>
      <c r="O65" s="367"/>
      <c r="P65" s="367"/>
      <c r="Q65" s="367"/>
      <c r="R65" s="367"/>
      <c r="S65" s="367">
        <f>K65</f>
        <v>2259.99317816651</v>
      </c>
      <c r="T65" s="368"/>
      <c r="W65" s="370"/>
    </row>
    <row r="66" spans="1:24" s="1" customFormat="1" ht="21" x14ac:dyDescent="0.2">
      <c r="A66" s="58" t="s">
        <v>497</v>
      </c>
      <c r="B66" s="59" t="s">
        <v>498</v>
      </c>
      <c r="C66" s="59" t="s">
        <v>161</v>
      </c>
      <c r="D66" s="59" t="s">
        <v>486</v>
      </c>
      <c r="E66" s="59" t="s">
        <v>163</v>
      </c>
      <c r="F66" s="46" t="s">
        <v>63</v>
      </c>
      <c r="G66" s="69" t="s">
        <v>496</v>
      </c>
      <c r="H66" s="69" t="s">
        <v>496</v>
      </c>
      <c r="I66" s="45" t="s">
        <v>142</v>
      </c>
      <c r="J66" s="45" t="s">
        <v>142</v>
      </c>
      <c r="K66" s="60">
        <v>2418.0573670128501</v>
      </c>
      <c r="L66" s="60"/>
      <c r="M66" s="60"/>
      <c r="N66" s="60"/>
      <c r="O66" s="60"/>
      <c r="P66" s="60"/>
      <c r="Q66" s="60"/>
      <c r="R66" s="60"/>
      <c r="S66" s="367">
        <f>K66</f>
        <v>2418.0573670128501</v>
      </c>
      <c r="T66" s="63"/>
      <c r="W66" s="194">
        <f>K66-S66</f>
        <v>0</v>
      </c>
    </row>
    <row r="67" spans="1:24" s="386" customFormat="1" ht="21" customHeight="1" x14ac:dyDescent="0.2">
      <c r="A67" s="362" t="s">
        <v>499</v>
      </c>
      <c r="B67" s="363" t="s">
        <v>500</v>
      </c>
      <c r="C67" s="363" t="s">
        <v>161</v>
      </c>
      <c r="D67" s="363" t="s">
        <v>486</v>
      </c>
      <c r="E67" s="363" t="s">
        <v>163</v>
      </c>
      <c r="F67" s="364" t="s">
        <v>63</v>
      </c>
      <c r="G67" s="385" t="s">
        <v>501</v>
      </c>
      <c r="H67" s="385" t="s">
        <v>501</v>
      </c>
      <c r="I67" s="365" t="s">
        <v>143</v>
      </c>
      <c r="J67" s="365" t="s">
        <v>143</v>
      </c>
      <c r="K67" s="366">
        <v>5120.75999790682</v>
      </c>
      <c r="L67" s="367"/>
      <c r="M67" s="367"/>
      <c r="N67" s="367"/>
      <c r="O67" s="367"/>
      <c r="P67" s="367"/>
      <c r="Q67" s="367"/>
      <c r="R67" s="367"/>
      <c r="S67" s="367">
        <f>K67</f>
        <v>5120.75999790682</v>
      </c>
      <c r="T67" s="368"/>
      <c r="W67" s="387">
        <f t="shared" ref="W67:W69" si="6">K67-S67</f>
        <v>0</v>
      </c>
    </row>
    <row r="68" spans="1:24" s="389" customFormat="1" ht="49.9" customHeight="1" x14ac:dyDescent="0.2">
      <c r="A68" s="362" t="s">
        <v>502</v>
      </c>
      <c r="B68" s="363" t="s">
        <v>503</v>
      </c>
      <c r="C68" s="363" t="s">
        <v>161</v>
      </c>
      <c r="D68" s="363" t="s">
        <v>486</v>
      </c>
      <c r="E68" s="363" t="s">
        <v>158</v>
      </c>
      <c r="F68" s="364" t="s">
        <v>504</v>
      </c>
      <c r="G68" s="385">
        <v>5</v>
      </c>
      <c r="H68" s="385">
        <v>5</v>
      </c>
      <c r="I68" s="365" t="s">
        <v>138</v>
      </c>
      <c r="J68" s="365" t="s">
        <v>138</v>
      </c>
      <c r="K68" s="366">
        <v>818.80008948479599</v>
      </c>
      <c r="L68" s="367"/>
      <c r="M68" s="367"/>
      <c r="N68" s="367"/>
      <c r="O68" s="367"/>
      <c r="P68" s="367"/>
      <c r="Q68" s="367"/>
      <c r="R68" s="367"/>
      <c r="S68" s="378">
        <v>378.21825144071545</v>
      </c>
      <c r="T68" s="368"/>
      <c r="U68" s="388"/>
      <c r="W68" s="387">
        <f t="shared" si="6"/>
        <v>440.58183804408054</v>
      </c>
    </row>
    <row r="69" spans="1:24" s="389" customFormat="1" ht="24.75" customHeight="1" x14ac:dyDescent="0.2">
      <c r="A69" s="362" t="s">
        <v>505</v>
      </c>
      <c r="B69" s="363" t="s">
        <v>506</v>
      </c>
      <c r="C69" s="363" t="s">
        <v>161</v>
      </c>
      <c r="D69" s="363" t="s">
        <v>486</v>
      </c>
      <c r="E69" s="363" t="s">
        <v>158</v>
      </c>
      <c r="F69" s="364" t="s">
        <v>504</v>
      </c>
      <c r="G69" s="385">
        <v>3</v>
      </c>
      <c r="H69" s="385">
        <v>3</v>
      </c>
      <c r="I69" s="365" t="s">
        <v>110</v>
      </c>
      <c r="J69" s="365" t="s">
        <v>110</v>
      </c>
      <c r="K69" s="366">
        <v>397.4</v>
      </c>
      <c r="L69" s="367"/>
      <c r="M69" s="367"/>
      <c r="N69" s="367"/>
      <c r="O69" s="367"/>
      <c r="P69" s="367"/>
      <c r="Q69" s="367"/>
      <c r="R69" s="367"/>
      <c r="S69" s="367"/>
      <c r="T69" s="368"/>
      <c r="U69" s="388"/>
      <c r="W69" s="387">
        <f t="shared" si="6"/>
        <v>397.4</v>
      </c>
    </row>
    <row r="70" spans="1:24" s="389" customFormat="1" ht="11.25" hidden="1" customHeight="1" x14ac:dyDescent="0.2">
      <c r="A70" s="390"/>
      <c r="B70" s="363"/>
      <c r="C70" s="363"/>
      <c r="D70" s="363"/>
      <c r="E70" s="363"/>
      <c r="F70" s="364"/>
      <c r="G70" s="364"/>
      <c r="H70" s="364"/>
      <c r="I70" s="365"/>
      <c r="J70" s="365"/>
      <c r="K70" s="366"/>
      <c r="L70" s="367"/>
      <c r="M70" s="367"/>
      <c r="N70" s="367"/>
      <c r="O70" s="367"/>
      <c r="P70" s="367"/>
      <c r="Q70" s="367"/>
      <c r="R70" s="367"/>
      <c r="S70" s="368"/>
      <c r="T70" s="368"/>
      <c r="U70" s="388"/>
      <c r="W70" s="370"/>
    </row>
    <row r="71" spans="1:24" s="389" customFormat="1" ht="11.25" hidden="1" customHeight="1" x14ac:dyDescent="0.2">
      <c r="A71" s="390"/>
      <c r="B71" s="363"/>
      <c r="C71" s="363"/>
      <c r="D71" s="363"/>
      <c r="E71" s="363"/>
      <c r="F71" s="364"/>
      <c r="G71" s="364"/>
      <c r="H71" s="364"/>
      <c r="I71" s="365"/>
      <c r="J71" s="365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88"/>
      <c r="W71" s="370"/>
    </row>
    <row r="72" spans="1:24" s="389" customFormat="1" ht="11.25" hidden="1" customHeight="1" x14ac:dyDescent="0.2">
      <c r="A72" s="390"/>
      <c r="B72" s="363"/>
      <c r="C72" s="363"/>
      <c r="D72" s="363"/>
      <c r="E72" s="363"/>
      <c r="F72" s="364"/>
      <c r="G72" s="385"/>
      <c r="H72" s="385"/>
      <c r="I72" s="365"/>
      <c r="J72" s="365"/>
      <c r="K72" s="367"/>
      <c r="L72" s="368"/>
      <c r="M72" s="368"/>
      <c r="N72" s="368"/>
      <c r="O72" s="368"/>
      <c r="P72" s="368"/>
      <c r="Q72" s="368"/>
      <c r="R72" s="367"/>
      <c r="S72" s="368"/>
      <c r="T72" s="368"/>
    </row>
    <row r="73" spans="1:24" s="386" customFormat="1" ht="9" hidden="1" customHeight="1" x14ac:dyDescent="0.2">
      <c r="A73" s="390"/>
      <c r="B73" s="363"/>
      <c r="C73" s="363"/>
      <c r="D73" s="363"/>
      <c r="E73" s="363"/>
      <c r="F73" s="364"/>
      <c r="G73" s="385"/>
      <c r="H73" s="385"/>
      <c r="I73" s="365"/>
      <c r="J73" s="365"/>
      <c r="K73" s="367"/>
      <c r="L73" s="368"/>
      <c r="M73" s="368"/>
      <c r="N73" s="368"/>
      <c r="O73" s="368"/>
      <c r="P73" s="368"/>
      <c r="Q73" s="368"/>
      <c r="R73" s="367"/>
      <c r="S73" s="368"/>
      <c r="T73" s="368"/>
    </row>
    <row r="74" spans="1:24" s="389" customFormat="1" ht="9" customHeight="1" thickBot="1" x14ac:dyDescent="0.25">
      <c r="A74" s="471" t="s">
        <v>19</v>
      </c>
      <c r="B74" s="472"/>
      <c r="C74" s="472"/>
      <c r="D74" s="472"/>
      <c r="E74" s="472"/>
      <c r="F74" s="472"/>
      <c r="G74" s="472"/>
      <c r="H74" s="472"/>
      <c r="I74" s="472"/>
      <c r="J74" s="473"/>
      <c r="K74" s="603">
        <f>SUM(K43:K69,K40)</f>
        <v>80218.589079407902</v>
      </c>
      <c r="L74" s="603">
        <f t="shared" ref="L74:T74" si="7">SUM(L43:L73,L40)</f>
        <v>0</v>
      </c>
      <c r="M74" s="603">
        <f t="shared" si="7"/>
        <v>2961.5900193852799</v>
      </c>
      <c r="N74" s="603">
        <f t="shared" si="7"/>
        <v>12462.189899161642</v>
      </c>
      <c r="O74" s="603">
        <f t="shared" si="7"/>
        <v>11942.170220369968</v>
      </c>
      <c r="P74" s="603">
        <f t="shared" si="7"/>
        <v>15345.84</v>
      </c>
      <c r="Q74" s="603">
        <f t="shared" si="7"/>
        <v>8058.04</v>
      </c>
      <c r="R74" s="603">
        <f t="shared" si="7"/>
        <v>3278.45</v>
      </c>
      <c r="S74" s="603">
        <f t="shared" si="7"/>
        <v>22132.348791575096</v>
      </c>
      <c r="T74" s="603">
        <f t="shared" si="7"/>
        <v>0</v>
      </c>
      <c r="W74" s="379">
        <f t="shared" ref="W74" si="8">SUM(W43:W73,W40)</f>
        <v>2137.9818380440806</v>
      </c>
    </row>
    <row r="75" spans="1:24" s="1" customFormat="1" ht="9" hidden="1" customHeight="1" x14ac:dyDescent="0.2">
      <c r="A75" s="417" t="s">
        <v>20</v>
      </c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</row>
    <row r="76" spans="1:24" s="1" customFormat="1" ht="9" hidden="1" customHeight="1" x14ac:dyDescent="0.2">
      <c r="A76" s="200"/>
      <c r="B76" s="199"/>
      <c r="C76" s="199"/>
      <c r="D76" s="199"/>
      <c r="E76" s="199"/>
      <c r="F76" s="200"/>
      <c r="G76" s="200"/>
      <c r="H76" s="200"/>
      <c r="I76" s="202"/>
      <c r="J76" s="202"/>
      <c r="K76" s="201"/>
      <c r="L76" s="201"/>
      <c r="M76" s="201"/>
      <c r="N76" s="201"/>
      <c r="O76" s="201"/>
      <c r="P76" s="201"/>
      <c r="Q76" s="201"/>
      <c r="R76" s="201"/>
      <c r="S76" s="367"/>
      <c r="T76" s="351"/>
    </row>
    <row r="77" spans="1:24" s="1" customFormat="1" ht="9" hidden="1" customHeight="1" x14ac:dyDescent="0.2">
      <c r="A77" s="352"/>
      <c r="B77" s="353"/>
      <c r="C77" s="199"/>
      <c r="D77" s="353"/>
      <c r="E77" s="199"/>
      <c r="F77" s="200"/>
      <c r="G77" s="200"/>
      <c r="H77" s="352"/>
      <c r="I77" s="202"/>
      <c r="J77" s="202"/>
      <c r="K77" s="201"/>
      <c r="L77" s="201"/>
      <c r="M77" s="354"/>
      <c r="N77" s="354"/>
      <c r="O77" s="354"/>
      <c r="P77" s="354"/>
      <c r="Q77" s="354"/>
      <c r="R77" s="354"/>
      <c r="S77" s="367"/>
      <c r="T77" s="355"/>
    </row>
    <row r="78" spans="1:24" s="1" customFormat="1" ht="9" hidden="1" customHeight="1" x14ac:dyDescent="0.2">
      <c r="A78" s="352"/>
      <c r="B78" s="199"/>
      <c r="C78" s="199"/>
      <c r="D78" s="353"/>
      <c r="E78" s="199"/>
      <c r="F78" s="200"/>
      <c r="G78" s="200"/>
      <c r="H78" s="352"/>
      <c r="I78" s="202"/>
      <c r="J78" s="202"/>
      <c r="K78" s="201"/>
      <c r="L78" s="350"/>
      <c r="M78" s="356"/>
      <c r="N78" s="356"/>
      <c r="O78" s="356"/>
      <c r="P78" s="354"/>
      <c r="Q78" s="356"/>
      <c r="R78" s="356"/>
      <c r="S78" s="368"/>
      <c r="T78" s="351"/>
    </row>
    <row r="79" spans="1:24" s="13" customFormat="1" ht="12.6" hidden="1" customHeight="1" x14ac:dyDescent="0.2">
      <c r="A79" s="352"/>
      <c r="B79" s="353"/>
      <c r="C79" s="353"/>
      <c r="D79" s="353"/>
      <c r="E79" s="353"/>
      <c r="F79" s="357"/>
      <c r="G79" s="357"/>
      <c r="H79" s="357"/>
      <c r="I79" s="358"/>
      <c r="J79" s="358"/>
      <c r="K79" s="359"/>
      <c r="L79" s="359"/>
      <c r="M79" s="359"/>
      <c r="N79" s="359"/>
      <c r="O79" s="359"/>
      <c r="P79" s="359"/>
      <c r="Q79" s="359"/>
      <c r="R79" s="359"/>
      <c r="S79" s="366"/>
      <c r="T79" s="360"/>
      <c r="U79" s="66"/>
      <c r="V79" s="65"/>
      <c r="W79" s="108"/>
      <c r="X79" s="109" t="s">
        <v>141</v>
      </c>
    </row>
    <row r="80" spans="1:24" s="3" customFormat="1" ht="12.6" hidden="1" customHeight="1" thickBot="1" x14ac:dyDescent="0.25">
      <c r="A80" s="458" t="s">
        <v>21</v>
      </c>
      <c r="B80" s="459"/>
      <c r="C80" s="459"/>
      <c r="D80" s="459"/>
      <c r="E80" s="459"/>
      <c r="F80" s="459"/>
      <c r="G80" s="459"/>
      <c r="H80" s="459"/>
      <c r="I80" s="459"/>
      <c r="J80" s="460"/>
      <c r="K80" s="95">
        <f>SUM(K76:K79)</f>
        <v>0</v>
      </c>
      <c r="L80" s="95">
        <f>SUM(L76:L79)</f>
        <v>0</v>
      </c>
      <c r="M80" s="95"/>
      <c r="N80" s="95"/>
      <c r="O80" s="95"/>
      <c r="P80" s="95">
        <f>SUM(P76:P79)</f>
        <v>0</v>
      </c>
      <c r="Q80" s="95">
        <f>SUM(Q76:Q79)</f>
        <v>0</v>
      </c>
      <c r="R80" s="95">
        <f>SUM(R76:R79)</f>
        <v>0</v>
      </c>
      <c r="S80" s="379">
        <f>SUM(S76:S79)</f>
        <v>0</v>
      </c>
      <c r="T80" s="95">
        <f>SUM(T76:T79)</f>
        <v>0</v>
      </c>
      <c r="W80" s="108"/>
      <c r="X80" s="109" t="s">
        <v>140</v>
      </c>
    </row>
    <row r="81" spans="1:20" s="3" customFormat="1" ht="12.6" hidden="1" customHeight="1" x14ac:dyDescent="0.2">
      <c r="A81" s="405" t="s">
        <v>22</v>
      </c>
      <c r="B81" s="405"/>
      <c r="C81" s="405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</row>
    <row r="82" spans="1:20" s="3" customFormat="1" ht="9" hidden="1" customHeight="1" x14ac:dyDescent="0.2">
      <c r="A82" s="415" t="s">
        <v>25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</row>
    <row r="83" spans="1:20" s="3" customFormat="1" ht="10.5" hidden="1" customHeight="1" x14ac:dyDescent="0.2">
      <c r="A83" s="415" t="s">
        <v>52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</row>
    <row r="84" spans="1:20" s="3" customFormat="1" ht="10.5" hidden="1" customHeight="1" x14ac:dyDescent="0.2">
      <c r="A84" s="291" t="s">
        <v>26</v>
      </c>
      <c r="B84" s="55"/>
      <c r="C84" s="55"/>
      <c r="D84" s="55"/>
      <c r="E84" s="55"/>
      <c r="F84" s="56"/>
      <c r="G84" s="56"/>
      <c r="H84" s="56"/>
      <c r="I84" s="57"/>
      <c r="J84" s="57"/>
      <c r="K84" s="56"/>
      <c r="L84" s="56"/>
      <c r="M84" s="56"/>
      <c r="N84" s="56"/>
      <c r="O84" s="56"/>
      <c r="P84" s="56"/>
      <c r="Q84" s="56"/>
      <c r="R84" s="56"/>
      <c r="S84" s="380"/>
      <c r="T84" s="56"/>
    </row>
    <row r="85" spans="1:20" s="3" customFormat="1" ht="10.5" hidden="1" customHeight="1" x14ac:dyDescent="0.2">
      <c r="A85" s="291" t="s">
        <v>27</v>
      </c>
      <c r="B85" s="55"/>
      <c r="C85" s="55"/>
      <c r="D85" s="55"/>
      <c r="E85" s="55"/>
      <c r="F85" s="56"/>
      <c r="G85" s="56"/>
      <c r="H85" s="56"/>
      <c r="I85" s="57"/>
      <c r="J85" s="57"/>
      <c r="K85" s="56"/>
      <c r="L85" s="56"/>
      <c r="M85" s="56"/>
      <c r="N85" s="56"/>
      <c r="O85" s="56"/>
      <c r="P85" s="56"/>
      <c r="Q85" s="56"/>
      <c r="R85" s="56"/>
      <c r="S85" s="380"/>
      <c r="T85" s="56"/>
    </row>
    <row r="86" spans="1:20" s="2" customFormat="1" ht="10.5" hidden="1" customHeight="1" thickBot="1" x14ac:dyDescent="0.25">
      <c r="A86" s="474" t="s">
        <v>28</v>
      </c>
      <c r="B86" s="474"/>
      <c r="C86" s="474"/>
      <c r="D86" s="474"/>
      <c r="E86" s="474"/>
      <c r="F86" s="474"/>
      <c r="G86" s="474"/>
      <c r="H86" s="474"/>
      <c r="I86" s="474"/>
      <c r="J86" s="474"/>
      <c r="K86" s="96"/>
      <c r="L86" s="96"/>
      <c r="M86" s="96"/>
      <c r="N86" s="96"/>
      <c r="O86" s="96"/>
      <c r="P86" s="96"/>
      <c r="Q86" s="96"/>
      <c r="R86" s="96"/>
      <c r="S86" s="381"/>
      <c r="T86" s="96"/>
    </row>
    <row r="87" spans="1:20" s="3" customFormat="1" thickBot="1" x14ac:dyDescent="0.25">
      <c r="A87" s="469" t="s">
        <v>29</v>
      </c>
      <c r="B87" s="470"/>
      <c r="C87" s="470"/>
      <c r="D87" s="470"/>
      <c r="E87" s="470"/>
      <c r="F87" s="470"/>
      <c r="G87" s="470"/>
      <c r="H87" s="470"/>
      <c r="I87" s="470"/>
      <c r="J87" s="470"/>
      <c r="K87" s="604">
        <f>K32+K74</f>
        <v>281599.70026280789</v>
      </c>
      <c r="L87" s="604">
        <f t="shared" ref="L87:T87" si="9">L32+L74</f>
        <v>201381.11118339997</v>
      </c>
      <c r="M87" s="604">
        <f t="shared" si="9"/>
        <v>2961.5900193852799</v>
      </c>
      <c r="N87" s="604">
        <f t="shared" si="9"/>
        <v>12462.189899161642</v>
      </c>
      <c r="O87" s="604">
        <f t="shared" si="9"/>
        <v>11942.170220369968</v>
      </c>
      <c r="P87" s="604">
        <f t="shared" si="9"/>
        <v>15345.84</v>
      </c>
      <c r="Q87" s="604">
        <f t="shared" si="9"/>
        <v>8058.04</v>
      </c>
      <c r="R87" s="604">
        <f t="shared" si="9"/>
        <v>3278.45</v>
      </c>
      <c r="S87" s="604">
        <f t="shared" si="9"/>
        <v>22132.348791575096</v>
      </c>
      <c r="T87" s="604">
        <f t="shared" si="9"/>
        <v>0</v>
      </c>
    </row>
    <row r="88" spans="1:20" ht="13.5" thickBot="1" x14ac:dyDescent="0.25">
      <c r="A88" s="469" t="s">
        <v>218</v>
      </c>
      <c r="B88" s="470"/>
      <c r="C88" s="470"/>
      <c r="D88" s="470"/>
      <c r="E88" s="470"/>
      <c r="F88" s="470"/>
      <c r="G88" s="470"/>
      <c r="H88" s="470"/>
      <c r="I88" s="470"/>
      <c r="J88" s="470"/>
      <c r="K88" s="605">
        <f t="shared" ref="K88:T88" si="10">K25+K27+K28</f>
        <v>201381.11118339997</v>
      </c>
      <c r="L88" s="605">
        <f t="shared" si="10"/>
        <v>201381.11118339997</v>
      </c>
      <c r="M88" s="605">
        <f t="shared" si="10"/>
        <v>0</v>
      </c>
      <c r="N88" s="605">
        <f t="shared" si="10"/>
        <v>0</v>
      </c>
      <c r="O88" s="605">
        <f t="shared" si="10"/>
        <v>0</v>
      </c>
      <c r="P88" s="605">
        <f t="shared" si="10"/>
        <v>0</v>
      </c>
      <c r="Q88" s="605">
        <f t="shared" si="10"/>
        <v>0</v>
      </c>
      <c r="R88" s="605">
        <f t="shared" si="10"/>
        <v>0</v>
      </c>
      <c r="S88" s="605">
        <f t="shared" si="10"/>
        <v>0</v>
      </c>
      <c r="T88" s="605">
        <f t="shared" si="10"/>
        <v>0</v>
      </c>
    </row>
    <row r="89" spans="1:20" ht="12.75" customHeight="1" x14ac:dyDescent="0.25">
      <c r="H89" s="452"/>
      <c r="I89" s="453"/>
      <c r="J89" s="214"/>
      <c r="K89" s="103"/>
      <c r="L89" s="103"/>
      <c r="M89" s="103"/>
      <c r="N89" s="103"/>
      <c r="O89" s="103"/>
      <c r="P89" s="103"/>
      <c r="Q89" s="103"/>
      <c r="R89" s="103"/>
      <c r="S89" s="382"/>
      <c r="T89" s="305" t="s">
        <v>542</v>
      </c>
    </row>
    <row r="90" spans="1:20" ht="12.75" customHeight="1" x14ac:dyDescent="0.2">
      <c r="H90" s="452" t="s">
        <v>445</v>
      </c>
      <c r="I90" s="453"/>
      <c r="J90" s="214" t="e">
        <f>#REF!+#REF!+#REF!</f>
        <v>#REF!</v>
      </c>
      <c r="K90" s="103"/>
      <c r="L90" s="103"/>
      <c r="M90" s="103"/>
      <c r="N90" s="103"/>
      <c r="O90" s="103"/>
      <c r="P90" s="103"/>
      <c r="Q90" s="103"/>
      <c r="R90" s="103"/>
      <c r="S90" s="382"/>
      <c r="T90" s="106"/>
    </row>
    <row r="91" spans="1:20" ht="12.75" customHeight="1" x14ac:dyDescent="0.2">
      <c r="H91" s="452" t="s">
        <v>446</v>
      </c>
      <c r="I91" s="453"/>
      <c r="J91" s="214" t="e">
        <f>J87-J90</f>
        <v>#REF!</v>
      </c>
      <c r="K91" s="103"/>
      <c r="L91" s="103"/>
      <c r="M91" s="103"/>
      <c r="N91" s="103"/>
      <c r="O91" s="103"/>
      <c r="P91" s="103"/>
      <c r="Q91" s="103"/>
      <c r="R91" s="103"/>
      <c r="S91" s="382">
        <f>K87-L87-S87</f>
        <v>58086.240287832821</v>
      </c>
      <c r="T91" s="106"/>
    </row>
    <row r="92" spans="1:20" ht="12.75" customHeight="1" x14ac:dyDescent="0.2">
      <c r="H92" s="452" t="s">
        <v>447</v>
      </c>
      <c r="I92" s="453"/>
      <c r="J92" s="214">
        <f>K79-L79-S79</f>
        <v>0</v>
      </c>
      <c r="K92" s="103"/>
      <c r="L92" s="103"/>
      <c r="M92" s="103"/>
      <c r="N92" s="103"/>
      <c r="O92" s="103"/>
      <c r="P92" s="103"/>
      <c r="Q92" s="103"/>
      <c r="R92" s="103"/>
      <c r="S92" s="382">
        <f>S91/1.18</f>
        <v>49225.627362570187</v>
      </c>
      <c r="T92" s="106" t="b">
        <f>S92='Финансовый план свод'!C33</f>
        <v>0</v>
      </c>
    </row>
    <row r="93" spans="1:20" ht="12.75" customHeight="1" x14ac:dyDescent="0.2">
      <c r="H93" s="452" t="s">
        <v>448</v>
      </c>
      <c r="I93" s="453"/>
      <c r="J93" s="214">
        <f>J92/1.18</f>
        <v>0</v>
      </c>
      <c r="K93" s="466" t="b">
        <f>J93='Финансовый план свод'!C33</f>
        <v>0</v>
      </c>
      <c r="L93" s="467"/>
      <c r="M93" s="468">
        <f>J93-'Финансовый план свод'!C33</f>
        <v>-48789.241697115707</v>
      </c>
      <c r="N93" s="468"/>
      <c r="O93" s="104"/>
      <c r="P93" s="104"/>
      <c r="Q93" s="103"/>
      <c r="R93" s="104"/>
      <c r="S93" s="383"/>
      <c r="T93" s="106"/>
    </row>
    <row r="94" spans="1:20" ht="12.75" customHeight="1" x14ac:dyDescent="0.2">
      <c r="I94" s="106"/>
      <c r="J94" s="107"/>
      <c r="K94" s="106"/>
      <c r="L94" s="106"/>
      <c r="M94" s="106"/>
      <c r="N94" s="106"/>
      <c r="O94" s="106"/>
      <c r="P94" s="106"/>
      <c r="Q94" s="103"/>
      <c r="R94" s="106"/>
      <c r="S94" s="383"/>
      <c r="T94" s="106"/>
    </row>
    <row r="95" spans="1:20" ht="12.75" customHeight="1" x14ac:dyDescent="0.2">
      <c r="K95" s="103"/>
      <c r="L95" s="103"/>
      <c r="M95" s="103"/>
      <c r="N95" s="103"/>
      <c r="O95" s="103"/>
      <c r="P95" s="103"/>
      <c r="Q95" s="103"/>
      <c r="R95" s="103"/>
      <c r="S95" s="382"/>
      <c r="T95" s="103"/>
    </row>
    <row r="96" spans="1:20" ht="12.75" customHeight="1" x14ac:dyDescent="0.2">
      <c r="K96" s="103"/>
      <c r="L96" s="103"/>
      <c r="M96" s="103"/>
      <c r="N96" s="103"/>
      <c r="O96" s="103"/>
      <c r="P96" s="103"/>
      <c r="Q96" s="103"/>
      <c r="R96" s="103"/>
      <c r="S96" s="382"/>
      <c r="T96" s="103"/>
    </row>
    <row r="97" spans="11:20" ht="12.75" customHeight="1" x14ac:dyDescent="0.2">
      <c r="K97" s="103"/>
      <c r="L97" s="103"/>
      <c r="M97" s="103"/>
      <c r="N97" s="103"/>
      <c r="O97" s="103"/>
      <c r="P97" s="103"/>
      <c r="Q97" s="104"/>
      <c r="R97" s="103"/>
      <c r="S97" s="382">
        <v>3422</v>
      </c>
      <c r="T97" s="103"/>
    </row>
    <row r="98" spans="11:20" ht="12.75" customHeight="1" x14ac:dyDescent="0.2">
      <c r="K98" s="103"/>
      <c r="L98" s="103"/>
      <c r="M98" s="103"/>
      <c r="N98" s="103"/>
      <c r="O98" s="103"/>
      <c r="P98" s="103"/>
      <c r="Q98" s="106"/>
      <c r="R98" s="103"/>
      <c r="S98" s="382">
        <f>S97*1.18</f>
        <v>4037.9599999999996</v>
      </c>
      <c r="T98" s="103"/>
    </row>
    <row r="99" spans="11:20" ht="12.75" customHeight="1" x14ac:dyDescent="0.2">
      <c r="K99" s="103"/>
      <c r="L99" s="103"/>
      <c r="M99" s="103"/>
      <c r="N99" s="103"/>
      <c r="O99" s="103"/>
      <c r="P99" s="103"/>
      <c r="Q99" s="103"/>
      <c r="R99" s="103"/>
      <c r="S99" s="382"/>
      <c r="T99" s="103"/>
    </row>
    <row r="100" spans="11:20" ht="12.75" customHeight="1" x14ac:dyDescent="0.2">
      <c r="K100" s="103"/>
      <c r="L100" s="103"/>
      <c r="M100" s="103"/>
      <c r="N100" s="103"/>
      <c r="O100" s="103"/>
      <c r="P100" s="103"/>
      <c r="Q100" s="103"/>
      <c r="R100" s="103"/>
      <c r="S100" s="382"/>
      <c r="T100" s="103"/>
    </row>
    <row r="101" spans="11:20" ht="12.75" customHeight="1" x14ac:dyDescent="0.2">
      <c r="K101" s="103"/>
      <c r="L101" s="103"/>
      <c r="M101" s="103"/>
      <c r="N101" s="103"/>
      <c r="O101" s="103"/>
      <c r="P101" s="103"/>
      <c r="Q101" s="103"/>
      <c r="R101" s="103"/>
      <c r="S101" s="382"/>
      <c r="T101" s="103"/>
    </row>
    <row r="102" spans="11:20" ht="12.75" customHeight="1" x14ac:dyDescent="0.2">
      <c r="K102" s="103"/>
      <c r="L102" s="103"/>
      <c r="M102" s="103"/>
      <c r="N102" s="103"/>
      <c r="O102" s="103"/>
      <c r="P102" s="103"/>
      <c r="Q102" s="103"/>
      <c r="R102" s="103"/>
      <c r="S102" s="382"/>
      <c r="T102" s="103"/>
    </row>
    <row r="103" spans="11:20" ht="12.75" customHeight="1" x14ac:dyDescent="0.2">
      <c r="K103" s="103"/>
      <c r="L103" s="103"/>
      <c r="M103" s="103"/>
      <c r="N103" s="103"/>
      <c r="O103" s="103"/>
      <c r="P103" s="103"/>
      <c r="Q103" s="103"/>
      <c r="R103" s="103"/>
      <c r="S103" s="382"/>
      <c r="T103" s="103"/>
    </row>
    <row r="104" spans="11:20" ht="12.75" customHeight="1" x14ac:dyDescent="0.2">
      <c r="K104" s="103"/>
      <c r="L104" s="103"/>
      <c r="M104" s="103"/>
      <c r="N104" s="103"/>
      <c r="O104" s="103"/>
      <c r="P104" s="103"/>
      <c r="Q104" s="103"/>
      <c r="R104" s="103"/>
      <c r="S104" s="382"/>
      <c r="T104" s="103"/>
    </row>
    <row r="105" spans="11:20" ht="12.75" customHeight="1" x14ac:dyDescent="0.2">
      <c r="K105" s="103"/>
      <c r="L105" s="103"/>
      <c r="M105" s="103"/>
      <c r="N105" s="103"/>
      <c r="O105" s="103"/>
      <c r="P105" s="103"/>
      <c r="Q105" s="103"/>
      <c r="R105" s="103"/>
      <c r="S105" s="382"/>
      <c r="T105" s="103"/>
    </row>
    <row r="106" spans="11:20" ht="12.75" customHeight="1" x14ac:dyDescent="0.2">
      <c r="K106" s="103"/>
      <c r="L106" s="103"/>
      <c r="M106" s="103"/>
      <c r="N106" s="103"/>
      <c r="O106" s="103"/>
      <c r="P106" s="103"/>
      <c r="Q106" s="103"/>
      <c r="R106" s="103"/>
      <c r="S106" s="382"/>
      <c r="T106" s="103"/>
    </row>
    <row r="107" spans="11:20" ht="12.75" customHeight="1" x14ac:dyDescent="0.2">
      <c r="K107" s="103"/>
      <c r="L107" s="103"/>
      <c r="M107" s="103"/>
      <c r="N107" s="103"/>
      <c r="O107" s="103"/>
      <c r="P107" s="103"/>
      <c r="Q107" s="103"/>
      <c r="R107" s="103"/>
      <c r="S107" s="382"/>
      <c r="T107" s="103"/>
    </row>
    <row r="108" spans="11:20" ht="12.75" customHeight="1" x14ac:dyDescent="0.2">
      <c r="K108" s="103"/>
      <c r="L108" s="103"/>
      <c r="M108" s="103"/>
      <c r="N108" s="103"/>
      <c r="O108" s="103"/>
      <c r="P108" s="103"/>
      <c r="Q108" s="103"/>
      <c r="R108" s="103"/>
      <c r="S108" s="382"/>
      <c r="T108" s="103"/>
    </row>
    <row r="109" spans="11:20" ht="12.75" customHeight="1" x14ac:dyDescent="0.2">
      <c r="K109" s="103"/>
      <c r="L109" s="103"/>
      <c r="M109" s="103"/>
      <c r="N109" s="103"/>
      <c r="O109" s="103"/>
      <c r="P109" s="103"/>
      <c r="Q109" s="103"/>
      <c r="R109" s="103"/>
      <c r="S109" s="382"/>
      <c r="T109" s="103"/>
    </row>
    <row r="110" spans="11:20" ht="12.75" customHeight="1" x14ac:dyDescent="0.2">
      <c r="Q110" s="103"/>
    </row>
    <row r="111" spans="11:20" ht="12.75" customHeight="1" x14ac:dyDescent="0.2">
      <c r="Q111" s="103"/>
    </row>
    <row r="112" spans="11:20" ht="12.75" customHeight="1" x14ac:dyDescent="0.2">
      <c r="Q112" s="103"/>
    </row>
    <row r="113" spans="17:17" ht="12.75" customHeight="1" x14ac:dyDescent="0.2">
      <c r="Q113" s="103"/>
    </row>
  </sheetData>
  <mergeCells count="50">
    <mergeCell ref="A24:T24"/>
    <mergeCell ref="A29:T29"/>
    <mergeCell ref="A30:T30"/>
    <mergeCell ref="A33:T33"/>
    <mergeCell ref="A38:T38"/>
    <mergeCell ref="A88:J88"/>
    <mergeCell ref="A75:T75"/>
    <mergeCell ref="A74:J74"/>
    <mergeCell ref="A39:T39"/>
    <mergeCell ref="A42:T42"/>
    <mergeCell ref="A81:T81"/>
    <mergeCell ref="A82:T82"/>
    <mergeCell ref="A83:T83"/>
    <mergeCell ref="A86:J86"/>
    <mergeCell ref="A87:J87"/>
    <mergeCell ref="H91:I91"/>
    <mergeCell ref="H92:I92"/>
    <mergeCell ref="H93:I93"/>
    <mergeCell ref="K93:L93"/>
    <mergeCell ref="M93:N93"/>
    <mergeCell ref="H89:I89"/>
    <mergeCell ref="H90:I90"/>
    <mergeCell ref="I14:J14"/>
    <mergeCell ref="A15:E15"/>
    <mergeCell ref="B16:B21"/>
    <mergeCell ref="C16:C21"/>
    <mergeCell ref="D16:D21"/>
    <mergeCell ref="E16:H16"/>
    <mergeCell ref="A80:J80"/>
    <mergeCell ref="A32:J32"/>
    <mergeCell ref="A37:J37"/>
    <mergeCell ref="F17:F21"/>
    <mergeCell ref="G17:H17"/>
    <mergeCell ref="A16:A21"/>
    <mergeCell ref="A23:T23"/>
    <mergeCell ref="A26:T26"/>
    <mergeCell ref="T17:T21"/>
    <mergeCell ref="P18:P21"/>
    <mergeCell ref="R18:R21"/>
    <mergeCell ref="I16:I21"/>
    <mergeCell ref="J16:J21"/>
    <mergeCell ref="M18:M21"/>
    <mergeCell ref="N18:N21"/>
    <mergeCell ref="O18:O21"/>
    <mergeCell ref="K17:K21"/>
    <mergeCell ref="L17:L21"/>
    <mergeCell ref="S17:S21"/>
    <mergeCell ref="K16:T16"/>
    <mergeCell ref="M17:R17"/>
    <mergeCell ref="Q18:Q21"/>
  </mergeCells>
  <pageMargins left="0.19685039370078741" right="0.19685039370078741" top="0.47244094488188981" bottom="0.23622047244094491" header="0.31496062992125984" footer="0.19685039370078741"/>
  <pageSetup paperSize="9" scale="91" fitToHeight="4" orientation="landscape" r:id="rId1"/>
  <rowBreaks count="1" manualBreakCount="1">
    <brk id="37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109"/>
  <sheetViews>
    <sheetView view="pageBreakPreview" zoomScale="120" zoomScaleNormal="100" zoomScaleSheetLayoutView="120" workbookViewId="0">
      <pane xSplit="2" ySplit="13" topLeftCell="C55" activePane="bottomRight" state="frozen"/>
      <selection pane="topRight" activeCell="C1" sqref="C1"/>
      <selection pane="bottomLeft" activeCell="A14" sqref="A14"/>
      <selection pane="bottomRight" activeCell="M84" sqref="M84"/>
    </sheetView>
  </sheetViews>
  <sheetFormatPr defaultColWidth="9.5703125" defaultRowHeight="12.75" customHeight="1" outlineLevelRow="1" x14ac:dyDescent="0.2"/>
  <cols>
    <col min="1" max="1" width="4.140625" style="4" bestFit="1" customWidth="1"/>
    <col min="2" max="2" width="20.28515625" style="4" customWidth="1"/>
    <col min="3" max="3" width="16.28515625" style="4" customWidth="1"/>
    <col min="4" max="4" width="12.28515625" style="4" customWidth="1"/>
    <col min="5" max="5" width="9.5703125" style="4" customWidth="1"/>
    <col min="6" max="6" width="4.140625" style="4" bestFit="1" customWidth="1"/>
    <col min="7" max="7" width="8.7109375" style="4" bestFit="1" customWidth="1"/>
    <col min="8" max="8" width="9.140625" style="4" bestFit="1" customWidth="1"/>
    <col min="9" max="9" width="8.28515625" style="4" customWidth="1"/>
    <col min="10" max="10" width="8.5703125" style="4" customWidth="1"/>
    <col min="11" max="11" width="6.7109375" style="4" bestFit="1" customWidth="1"/>
    <col min="12" max="12" width="7.140625" style="4" customWidth="1"/>
    <col min="13" max="13" width="7.28515625" style="4" bestFit="1" customWidth="1"/>
    <col min="14" max="14" width="6.140625" style="4" customWidth="1"/>
    <col min="15" max="15" width="6.28515625" style="4" customWidth="1"/>
    <col min="16" max="18" width="6.140625" style="4" bestFit="1" customWidth="1"/>
    <col min="19" max="20" width="6.5703125" style="4" customWidth="1"/>
    <col min="21" max="21" width="13.7109375" style="4" hidden="1" customWidth="1"/>
    <col min="22" max="22" width="16.5703125" style="4" hidden="1" customWidth="1"/>
    <col min="23" max="16384" width="9.5703125" style="4"/>
  </cols>
  <sheetData>
    <row r="1" spans="1:20" s="2" customFormat="1" ht="10.5" customHeight="1" x14ac:dyDescent="0.2"/>
    <row r="2" spans="1:20" s="3" customFormat="1" ht="6" customHeight="1" outlineLevel="1" x14ac:dyDescent="0.2"/>
    <row r="3" spans="1:20" s="10" customFormat="1" ht="16.899999999999999" customHeight="1" outlineLevel="1" x14ac:dyDescent="0.25">
      <c r="A3" s="477" t="s">
        <v>33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</row>
    <row r="4" spans="1:20" s="10" customFormat="1" ht="21" customHeight="1" outlineLevel="1" x14ac:dyDescent="0.25">
      <c r="A4" s="477" t="s">
        <v>113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1:20" s="8" customFormat="1" ht="17.45" customHeight="1" outlineLevel="1" x14ac:dyDescent="0.2">
      <c r="A5" s="478" t="s">
        <v>147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</row>
    <row r="6" spans="1:20" s="10" customFormat="1" ht="11.25" hidden="1" customHeight="1" outlineLevel="1" x14ac:dyDescent="0.2">
      <c r="I6" s="454"/>
      <c r="J6" s="454"/>
    </row>
    <row r="7" spans="1:20" s="3" customFormat="1" collapsed="1" x14ac:dyDescent="0.2">
      <c r="A7" s="479" t="s">
        <v>126</v>
      </c>
      <c r="B7" s="479"/>
      <c r="C7" s="479"/>
      <c r="D7" s="479"/>
      <c r="E7" s="479"/>
    </row>
    <row r="8" spans="1:20" s="13" customFormat="1" ht="9" customHeight="1" x14ac:dyDescent="0.2">
      <c r="A8" s="445" t="s">
        <v>0</v>
      </c>
      <c r="B8" s="445" t="s">
        <v>6</v>
      </c>
      <c r="C8" s="445" t="s">
        <v>48</v>
      </c>
      <c r="D8" s="445" t="s">
        <v>47</v>
      </c>
      <c r="E8" s="456" t="s">
        <v>1</v>
      </c>
      <c r="F8" s="457"/>
      <c r="G8" s="457"/>
      <c r="H8" s="457"/>
      <c r="I8" s="445" t="s">
        <v>40</v>
      </c>
      <c r="J8" s="445" t="s">
        <v>41</v>
      </c>
      <c r="K8" s="449" t="s">
        <v>3</v>
      </c>
      <c r="L8" s="449"/>
      <c r="M8" s="449"/>
      <c r="N8" s="449"/>
      <c r="O8" s="449"/>
      <c r="P8" s="449"/>
      <c r="Q8" s="449"/>
      <c r="R8" s="449"/>
      <c r="S8" s="449"/>
      <c r="T8" s="449"/>
    </row>
    <row r="9" spans="1:20" s="13" customFormat="1" ht="9" customHeight="1" x14ac:dyDescent="0.2">
      <c r="A9" s="446"/>
      <c r="B9" s="446"/>
      <c r="C9" s="446"/>
      <c r="D9" s="446"/>
      <c r="E9" s="16" t="s">
        <v>42</v>
      </c>
      <c r="F9" s="462" t="s">
        <v>7</v>
      </c>
      <c r="G9" s="456" t="s">
        <v>2</v>
      </c>
      <c r="H9" s="457"/>
      <c r="I9" s="446"/>
      <c r="J9" s="446"/>
      <c r="K9" s="401" t="s">
        <v>4</v>
      </c>
      <c r="L9" s="401" t="s">
        <v>146</v>
      </c>
      <c r="M9" s="450"/>
      <c r="N9" s="450"/>
      <c r="O9" s="450"/>
      <c r="P9" s="450"/>
      <c r="Q9" s="450"/>
      <c r="R9" s="451"/>
      <c r="S9" s="401" t="s">
        <v>5</v>
      </c>
      <c r="T9" s="401" t="s">
        <v>35</v>
      </c>
    </row>
    <row r="10" spans="1:20" s="13" customFormat="1" ht="9" customHeight="1" x14ac:dyDescent="0.2">
      <c r="A10" s="446"/>
      <c r="B10" s="446"/>
      <c r="C10" s="446"/>
      <c r="D10" s="446"/>
      <c r="E10" s="14" t="s">
        <v>43</v>
      </c>
      <c r="F10" s="463"/>
      <c r="G10" s="16" t="s">
        <v>39</v>
      </c>
      <c r="H10" s="16" t="s">
        <v>36</v>
      </c>
      <c r="I10" s="446"/>
      <c r="J10" s="446"/>
      <c r="K10" s="401"/>
      <c r="L10" s="401"/>
      <c r="M10" s="443" t="s">
        <v>106</v>
      </c>
      <c r="N10" s="443" t="s">
        <v>110</v>
      </c>
      <c r="O10" s="443" t="s">
        <v>138</v>
      </c>
      <c r="P10" s="443" t="s">
        <v>142</v>
      </c>
      <c r="Q10" s="443" t="s">
        <v>143</v>
      </c>
      <c r="R10" s="443" t="s">
        <v>144</v>
      </c>
      <c r="S10" s="401"/>
      <c r="T10" s="401"/>
    </row>
    <row r="11" spans="1:20" s="13" customFormat="1" ht="9" customHeight="1" x14ac:dyDescent="0.2">
      <c r="A11" s="446"/>
      <c r="B11" s="446"/>
      <c r="C11" s="446"/>
      <c r="D11" s="446"/>
      <c r="E11" s="14" t="s">
        <v>44</v>
      </c>
      <c r="F11" s="463"/>
      <c r="G11" s="14" t="s">
        <v>37</v>
      </c>
      <c r="H11" s="14" t="s">
        <v>37</v>
      </c>
      <c r="I11" s="446"/>
      <c r="J11" s="446"/>
      <c r="K11" s="401"/>
      <c r="L11" s="401"/>
      <c r="M11" s="443"/>
      <c r="N11" s="443"/>
      <c r="O11" s="443"/>
      <c r="P11" s="443"/>
      <c r="Q11" s="444"/>
      <c r="R11" s="444"/>
      <c r="S11" s="401"/>
      <c r="T11" s="401"/>
    </row>
    <row r="12" spans="1:20" s="13" customFormat="1" ht="9" customHeight="1" x14ac:dyDescent="0.2">
      <c r="A12" s="446"/>
      <c r="B12" s="446"/>
      <c r="C12" s="446"/>
      <c r="D12" s="446"/>
      <c r="E12" s="14" t="s">
        <v>45</v>
      </c>
      <c r="F12" s="463"/>
      <c r="G12" s="14" t="s">
        <v>38</v>
      </c>
      <c r="H12" s="14" t="s">
        <v>38</v>
      </c>
      <c r="I12" s="446"/>
      <c r="J12" s="446"/>
      <c r="K12" s="401"/>
      <c r="L12" s="401"/>
      <c r="M12" s="443"/>
      <c r="N12" s="443"/>
      <c r="O12" s="443"/>
      <c r="P12" s="443"/>
      <c r="Q12" s="444"/>
      <c r="R12" s="444"/>
      <c r="S12" s="401"/>
      <c r="T12" s="401"/>
    </row>
    <row r="13" spans="1:20" s="13" customFormat="1" ht="9" customHeight="1" x14ac:dyDescent="0.2">
      <c r="A13" s="447"/>
      <c r="B13" s="447"/>
      <c r="C13" s="447"/>
      <c r="D13" s="447"/>
      <c r="E13" s="17" t="s">
        <v>46</v>
      </c>
      <c r="F13" s="464"/>
      <c r="G13" s="17"/>
      <c r="H13" s="17"/>
      <c r="I13" s="447"/>
      <c r="J13" s="447"/>
      <c r="K13" s="401"/>
      <c r="L13" s="401"/>
      <c r="M13" s="443"/>
      <c r="N13" s="443"/>
      <c r="O13" s="443"/>
      <c r="P13" s="443"/>
      <c r="Q13" s="444"/>
      <c r="R13" s="444"/>
      <c r="S13" s="401"/>
      <c r="T13" s="401"/>
    </row>
    <row r="14" spans="1:20" s="1" customFormat="1" ht="9" customHeight="1" x14ac:dyDescent="0.2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54">
        <v>11</v>
      </c>
      <c r="L14" s="54">
        <v>12</v>
      </c>
      <c r="M14" s="54">
        <v>14</v>
      </c>
      <c r="N14" s="54">
        <v>15</v>
      </c>
      <c r="O14" s="54">
        <v>15</v>
      </c>
      <c r="P14" s="54">
        <v>17</v>
      </c>
      <c r="Q14" s="54">
        <v>18</v>
      </c>
      <c r="R14" s="54">
        <v>19</v>
      </c>
      <c r="S14" s="54">
        <v>20</v>
      </c>
      <c r="T14" s="54">
        <v>21</v>
      </c>
    </row>
    <row r="15" spans="1:20" s="13" customFormat="1" ht="9" customHeight="1" x14ac:dyDescent="0.2">
      <c r="A15" s="465" t="s">
        <v>31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  <row r="16" spans="1:20" s="1" customFormat="1" ht="9" customHeight="1" x14ac:dyDescent="0.2">
      <c r="A16" s="415" t="s">
        <v>8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</row>
    <row r="17" spans="1:23" s="61" customFormat="1" ht="73.5" x14ac:dyDescent="0.2">
      <c r="A17" s="58" t="s">
        <v>9</v>
      </c>
      <c r="B17" s="59" t="s">
        <v>326</v>
      </c>
      <c r="C17" s="59" t="s">
        <v>149</v>
      </c>
      <c r="D17" s="59" t="s">
        <v>150</v>
      </c>
      <c r="E17" s="59" t="s">
        <v>45</v>
      </c>
      <c r="F17" s="46" t="s">
        <v>151</v>
      </c>
      <c r="G17" s="46">
        <v>0</v>
      </c>
      <c r="H17" s="58" t="s">
        <v>325</v>
      </c>
      <c r="I17" s="45" t="s">
        <v>78</v>
      </c>
      <c r="J17" s="45" t="s">
        <v>79</v>
      </c>
      <c r="K17" s="98">
        <v>125498.6611663528</v>
      </c>
      <c r="L17" s="60">
        <f>K17</f>
        <v>125498.6611663528</v>
      </c>
      <c r="M17" s="60"/>
      <c r="N17" s="60"/>
      <c r="O17" s="60"/>
      <c r="P17" s="60"/>
      <c r="Q17" s="60"/>
      <c r="R17" s="63"/>
      <c r="S17" s="63"/>
      <c r="T17" s="63"/>
      <c r="U17" s="93" t="s">
        <v>136</v>
      </c>
      <c r="V17" s="93" t="s">
        <v>137</v>
      </c>
      <c r="W17" s="94"/>
    </row>
    <row r="18" spans="1:23" s="1" customFormat="1" ht="9" customHeight="1" x14ac:dyDescent="0.2">
      <c r="A18" s="415" t="s">
        <v>50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</row>
    <row r="19" spans="1:23" s="53" customFormat="1" ht="52.5" x14ac:dyDescent="0.2">
      <c r="A19" s="99" t="s">
        <v>127</v>
      </c>
      <c r="B19" s="59" t="s">
        <v>152</v>
      </c>
      <c r="C19" s="59" t="s">
        <v>149</v>
      </c>
      <c r="D19" s="59" t="s">
        <v>150</v>
      </c>
      <c r="E19" s="59" t="s">
        <v>153</v>
      </c>
      <c r="F19" s="46" t="s">
        <v>154</v>
      </c>
      <c r="G19" s="46">
        <v>0</v>
      </c>
      <c r="H19" s="46">
        <v>4.47</v>
      </c>
      <c r="I19" s="45" t="s">
        <v>78</v>
      </c>
      <c r="J19" s="45" t="s">
        <v>79</v>
      </c>
      <c r="K19" s="98">
        <v>55806.746986259663</v>
      </c>
      <c r="L19" s="60">
        <f>K19</f>
        <v>55806.746986259663</v>
      </c>
      <c r="M19" s="60"/>
      <c r="N19" s="60"/>
      <c r="O19" s="60"/>
      <c r="P19" s="60"/>
      <c r="Q19" s="60"/>
      <c r="R19" s="63"/>
      <c r="S19" s="63"/>
      <c r="T19" s="63"/>
      <c r="V19" s="93" t="s">
        <v>137</v>
      </c>
      <c r="W19" s="94"/>
    </row>
    <row r="20" spans="1:23" s="53" customFormat="1" ht="42" x14ac:dyDescent="0.2">
      <c r="A20" s="45" t="s">
        <v>128</v>
      </c>
      <c r="B20" s="59" t="s">
        <v>155</v>
      </c>
      <c r="C20" s="59" t="s">
        <v>149</v>
      </c>
      <c r="D20" s="59" t="s">
        <v>150</v>
      </c>
      <c r="E20" s="59" t="s">
        <v>153</v>
      </c>
      <c r="F20" s="46" t="s">
        <v>154</v>
      </c>
      <c r="G20" s="46">
        <v>0</v>
      </c>
      <c r="H20" s="46">
        <v>4.47</v>
      </c>
      <c r="I20" s="45" t="s">
        <v>78</v>
      </c>
      <c r="J20" s="45" t="s">
        <v>79</v>
      </c>
      <c r="K20" s="98">
        <v>20075.70303078751</v>
      </c>
      <c r="L20" s="63">
        <f>K20</f>
        <v>20075.70303078751</v>
      </c>
      <c r="M20" s="63"/>
      <c r="N20" s="63"/>
      <c r="O20" s="63"/>
      <c r="P20" s="60"/>
      <c r="Q20" s="60"/>
      <c r="R20" s="63"/>
      <c r="S20" s="63"/>
      <c r="T20" s="63"/>
      <c r="V20" s="93"/>
      <c r="W20" s="94"/>
    </row>
    <row r="21" spans="1:23" s="1" customFormat="1" ht="9" customHeight="1" x14ac:dyDescent="0.2">
      <c r="A21" s="415" t="s">
        <v>12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</row>
    <row r="22" spans="1:23" s="1" customFormat="1" ht="9" customHeight="1" x14ac:dyDescent="0.2">
      <c r="A22" s="415" t="s">
        <v>51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</row>
    <row r="23" spans="1:23" s="53" customFormat="1" ht="10.5" hidden="1" x14ac:dyDescent="0.2">
      <c r="A23" s="99"/>
      <c r="B23" s="59"/>
      <c r="C23" s="59"/>
      <c r="D23" s="59"/>
      <c r="E23" s="59"/>
      <c r="F23" s="46"/>
      <c r="G23" s="46"/>
      <c r="H23" s="46"/>
      <c r="I23" s="45"/>
      <c r="J23" s="45"/>
      <c r="K23" s="60"/>
      <c r="L23" s="60"/>
      <c r="M23" s="60"/>
      <c r="N23" s="60"/>
      <c r="O23" s="60"/>
      <c r="P23" s="60"/>
      <c r="Q23" s="60"/>
      <c r="R23" s="60"/>
      <c r="S23" s="60"/>
      <c r="T23" s="60"/>
      <c r="W23" s="94"/>
    </row>
    <row r="24" spans="1:23" s="1" customFormat="1" ht="11.25" customHeight="1" x14ac:dyDescent="0.2">
      <c r="A24" s="461" t="s">
        <v>15</v>
      </c>
      <c r="B24" s="461"/>
      <c r="C24" s="461"/>
      <c r="D24" s="461"/>
      <c r="E24" s="461"/>
      <c r="F24" s="461"/>
      <c r="G24" s="461"/>
      <c r="H24" s="461"/>
      <c r="I24" s="461"/>
      <c r="J24" s="461"/>
      <c r="K24" s="77">
        <f>K17+K19+K20</f>
        <v>201381.11118339997</v>
      </c>
      <c r="L24" s="77">
        <f t="shared" ref="L24:T24" si="0">L17+L19+L20</f>
        <v>201381.11118339997</v>
      </c>
      <c r="M24" s="77">
        <f t="shared" si="0"/>
        <v>0</v>
      </c>
      <c r="N24" s="77">
        <f t="shared" si="0"/>
        <v>0</v>
      </c>
      <c r="O24" s="77">
        <f t="shared" si="0"/>
        <v>0</v>
      </c>
      <c r="P24" s="77">
        <f t="shared" si="0"/>
        <v>0</v>
      </c>
      <c r="Q24" s="77">
        <f t="shared" si="0"/>
        <v>0</v>
      </c>
      <c r="R24" s="77">
        <f t="shared" si="0"/>
        <v>0</v>
      </c>
      <c r="S24" s="77">
        <f t="shared" si="0"/>
        <v>0</v>
      </c>
      <c r="T24" s="77">
        <f t="shared" si="0"/>
        <v>0</v>
      </c>
    </row>
    <row r="25" spans="1:23" s="13" customFormat="1" ht="9" hidden="1" customHeight="1" x14ac:dyDescent="0.2">
      <c r="A25" s="465" t="s">
        <v>49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</row>
    <row r="26" spans="1:23" s="53" customFormat="1" ht="10.5" hidden="1" x14ac:dyDescent="0.2">
      <c r="A26" s="45"/>
      <c r="B26" s="59"/>
      <c r="C26" s="59"/>
      <c r="D26" s="59"/>
      <c r="E26" s="59"/>
      <c r="F26" s="46"/>
      <c r="G26" s="46"/>
      <c r="H26" s="46"/>
      <c r="I26" s="45"/>
      <c r="J26" s="45"/>
      <c r="K26" s="98"/>
      <c r="L26" s="60"/>
      <c r="M26" s="60"/>
      <c r="N26" s="60"/>
      <c r="O26" s="60"/>
      <c r="P26" s="60"/>
      <c r="Q26" s="60"/>
      <c r="R26" s="60"/>
      <c r="S26" s="63"/>
      <c r="T26" s="63"/>
      <c r="W26" s="94"/>
    </row>
    <row r="27" spans="1:23" s="53" customFormat="1" ht="10.5" hidden="1" x14ac:dyDescent="0.2">
      <c r="A27" s="45"/>
      <c r="B27" s="59"/>
      <c r="C27" s="59"/>
      <c r="D27" s="59"/>
      <c r="E27" s="59"/>
      <c r="F27" s="46"/>
      <c r="G27" s="46"/>
      <c r="H27" s="46"/>
      <c r="I27" s="45"/>
      <c r="J27" s="45"/>
      <c r="K27" s="121"/>
      <c r="L27" s="60"/>
      <c r="M27" s="60"/>
      <c r="N27" s="60"/>
      <c r="O27" s="63"/>
      <c r="P27" s="60"/>
      <c r="Q27" s="60"/>
      <c r="R27" s="60"/>
      <c r="S27" s="63"/>
      <c r="T27" s="63"/>
      <c r="W27" s="94"/>
    </row>
    <row r="28" spans="1:23" s="53" customFormat="1" ht="10.5" hidden="1" x14ac:dyDescent="0.2">
      <c r="A28" s="45"/>
      <c r="B28" s="59"/>
      <c r="C28" s="59"/>
      <c r="D28" s="59"/>
      <c r="E28" s="59"/>
      <c r="F28" s="46"/>
      <c r="G28" s="46"/>
      <c r="H28" s="46"/>
      <c r="I28" s="45"/>
      <c r="J28" s="45"/>
      <c r="K28" s="121"/>
      <c r="L28" s="60"/>
      <c r="M28" s="60"/>
      <c r="N28" s="60"/>
      <c r="O28" s="63"/>
      <c r="P28" s="60"/>
      <c r="Q28" s="60"/>
      <c r="R28" s="60"/>
      <c r="S28" s="63"/>
      <c r="T28" s="63"/>
      <c r="W28" s="94"/>
    </row>
    <row r="29" spans="1:23" s="1" customFormat="1" ht="10.5" hidden="1" customHeight="1" x14ac:dyDescent="0.2">
      <c r="A29" s="461" t="s">
        <v>16</v>
      </c>
      <c r="B29" s="461"/>
      <c r="C29" s="461"/>
      <c r="D29" s="461"/>
      <c r="E29" s="461"/>
      <c r="F29" s="461"/>
      <c r="G29" s="461"/>
      <c r="H29" s="461"/>
      <c r="I29" s="461"/>
      <c r="J29" s="461"/>
      <c r="K29" s="77">
        <f t="shared" ref="K29:T29" si="1">SUM(K26:K28)</f>
        <v>0</v>
      </c>
      <c r="L29" s="77">
        <f t="shared" si="1"/>
        <v>0</v>
      </c>
      <c r="M29" s="77">
        <f t="shared" si="1"/>
        <v>0</v>
      </c>
      <c r="N29" s="77">
        <f t="shared" si="1"/>
        <v>0</v>
      </c>
      <c r="O29" s="77">
        <f t="shared" si="1"/>
        <v>0</v>
      </c>
      <c r="P29" s="77">
        <f t="shared" si="1"/>
        <v>0</v>
      </c>
      <c r="Q29" s="77">
        <f t="shared" si="1"/>
        <v>0</v>
      </c>
      <c r="R29" s="77">
        <f t="shared" si="1"/>
        <v>0</v>
      </c>
      <c r="S29" s="77">
        <f t="shared" si="1"/>
        <v>0</v>
      </c>
      <c r="T29" s="77">
        <f t="shared" si="1"/>
        <v>0</v>
      </c>
    </row>
    <row r="30" spans="1:23" s="13" customFormat="1" ht="9" customHeight="1" x14ac:dyDescent="0.2">
      <c r="A30" s="465" t="s">
        <v>32</v>
      </c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</row>
    <row r="31" spans="1:23" s="1" customFormat="1" ht="9" customHeight="1" x14ac:dyDescent="0.2">
      <c r="A31" s="415" t="s">
        <v>17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</row>
    <row r="32" spans="1:23" s="53" customFormat="1" ht="23.25" customHeight="1" x14ac:dyDescent="0.2">
      <c r="A32" s="239" t="s">
        <v>160</v>
      </c>
      <c r="B32" s="232" t="s">
        <v>484</v>
      </c>
      <c r="C32" s="232" t="s">
        <v>485</v>
      </c>
      <c r="D32" s="232" t="s">
        <v>486</v>
      </c>
      <c r="E32" s="232" t="s">
        <v>45</v>
      </c>
      <c r="F32" s="233" t="s">
        <v>487</v>
      </c>
      <c r="G32" s="233" t="s">
        <v>488</v>
      </c>
      <c r="H32" s="233" t="str">
        <f>G32</f>
        <v>2,659км х2</v>
      </c>
      <c r="I32" s="235" t="s">
        <v>143</v>
      </c>
      <c r="J32" s="235" t="s">
        <v>144</v>
      </c>
      <c r="K32" s="236">
        <f>SUM(L32:R32)</f>
        <v>0</v>
      </c>
      <c r="L32" s="237"/>
      <c r="M32" s="237"/>
      <c r="N32" s="237"/>
      <c r="O32" s="237"/>
      <c r="P32" s="237"/>
      <c r="Q32" s="237"/>
      <c r="R32" s="237"/>
      <c r="S32" s="237">
        <v>11955.32</v>
      </c>
      <c r="T32" s="238"/>
      <c r="W32" s="94" t="s">
        <v>507</v>
      </c>
    </row>
    <row r="33" spans="1:23" s="53" customFormat="1" ht="10.5" hidden="1" x14ac:dyDescent="0.2">
      <c r="A33" s="58"/>
      <c r="B33" s="59"/>
      <c r="C33" s="59"/>
      <c r="D33" s="59"/>
      <c r="E33" s="59"/>
      <c r="F33" s="46"/>
      <c r="G33" s="46"/>
      <c r="H33" s="46"/>
      <c r="I33" s="45"/>
      <c r="J33" s="45"/>
      <c r="K33" s="60"/>
      <c r="L33" s="60"/>
      <c r="M33" s="60"/>
      <c r="N33" s="60"/>
      <c r="O33" s="60"/>
      <c r="P33" s="60"/>
      <c r="Q33" s="60"/>
      <c r="R33" s="63"/>
      <c r="S33" s="63"/>
      <c r="T33" s="63"/>
      <c r="W33" s="94"/>
    </row>
    <row r="34" spans="1:23" s="1" customFormat="1" ht="9" customHeight="1" x14ac:dyDescent="0.2">
      <c r="A34" s="415" t="s">
        <v>18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</row>
    <row r="35" spans="1:23" s="53" customFormat="1" ht="31.5" x14ac:dyDescent="0.2">
      <c r="A35" s="58" t="s">
        <v>198</v>
      </c>
      <c r="B35" s="59" t="s">
        <v>178</v>
      </c>
      <c r="C35" s="59" t="s">
        <v>161</v>
      </c>
      <c r="D35" s="59" t="s">
        <v>162</v>
      </c>
      <c r="E35" s="59" t="s">
        <v>163</v>
      </c>
      <c r="F35" s="46" t="s">
        <v>63</v>
      </c>
      <c r="G35" s="69" t="s">
        <v>180</v>
      </c>
      <c r="H35" s="69" t="s">
        <v>180</v>
      </c>
      <c r="I35" s="45" t="s">
        <v>138</v>
      </c>
      <c r="J35" s="45" t="s">
        <v>138</v>
      </c>
      <c r="K35" s="229">
        <f>SUM(L35:R35)</f>
        <v>4128.0000068628406</v>
      </c>
      <c r="L35" s="63"/>
      <c r="M35" s="60"/>
      <c r="N35" s="60"/>
      <c r="O35" s="123">
        <f>4128000.00686284/1000</f>
        <v>4128.0000068628406</v>
      </c>
      <c r="P35" s="60"/>
      <c r="Q35" s="63"/>
      <c r="R35" s="63"/>
      <c r="S35" s="63"/>
      <c r="T35" s="63"/>
      <c r="U35" s="53" t="s">
        <v>135</v>
      </c>
      <c r="W35" s="94"/>
    </row>
    <row r="36" spans="1:23" s="53" customFormat="1" ht="42" x14ac:dyDescent="0.2">
      <c r="A36" s="58" t="s">
        <v>199</v>
      </c>
      <c r="B36" s="59" t="s">
        <v>489</v>
      </c>
      <c r="C36" s="59" t="s">
        <v>156</v>
      </c>
      <c r="D36" s="59" t="s">
        <v>490</v>
      </c>
      <c r="E36" s="59" t="s">
        <v>158</v>
      </c>
      <c r="F36" s="46" t="s">
        <v>159</v>
      </c>
      <c r="G36" s="46" t="s">
        <v>111</v>
      </c>
      <c r="H36" s="46">
        <v>1</v>
      </c>
      <c r="I36" s="202" t="s">
        <v>106</v>
      </c>
      <c r="J36" s="45" t="s">
        <v>110</v>
      </c>
      <c r="K36" s="98">
        <f>SUM(L36:R36)</f>
        <v>1300</v>
      </c>
      <c r="L36" s="60"/>
      <c r="M36" s="201">
        <v>1300</v>
      </c>
      <c r="N36" s="60"/>
      <c r="O36" s="60"/>
      <c r="P36" s="60"/>
      <c r="Q36" s="60"/>
      <c r="R36" s="60"/>
      <c r="S36" s="63"/>
      <c r="T36" s="63"/>
      <c r="W36" s="94"/>
    </row>
    <row r="37" spans="1:23" s="53" customFormat="1" ht="42" x14ac:dyDescent="0.2">
      <c r="A37" s="58" t="s">
        <v>200</v>
      </c>
      <c r="B37" s="59" t="s">
        <v>181</v>
      </c>
      <c r="C37" s="59" t="s">
        <v>156</v>
      </c>
      <c r="D37" s="59" t="s">
        <v>162</v>
      </c>
      <c r="E37" s="59" t="s">
        <v>158</v>
      </c>
      <c r="F37" s="46" t="s">
        <v>159</v>
      </c>
      <c r="G37" s="46" t="s">
        <v>111</v>
      </c>
      <c r="H37" s="46">
        <v>1</v>
      </c>
      <c r="I37" s="45" t="s">
        <v>143</v>
      </c>
      <c r="J37" s="45" t="s">
        <v>143</v>
      </c>
      <c r="K37" s="229">
        <f t="shared" ref="K37:K38" si="2">SUM(L37:R37)</f>
        <v>1268.7000048401001</v>
      </c>
      <c r="L37" s="60"/>
      <c r="M37" s="60"/>
      <c r="N37" s="60"/>
      <c r="O37" s="63"/>
      <c r="P37" s="60"/>
      <c r="Q37" s="63">
        <f>1268700.0048401/1000</f>
        <v>1268.7000048401001</v>
      </c>
      <c r="R37" s="60"/>
      <c r="S37" s="63"/>
      <c r="T37" s="63"/>
      <c r="W37" s="94"/>
    </row>
    <row r="38" spans="1:23" s="53" customFormat="1" ht="42" x14ac:dyDescent="0.2">
      <c r="A38" s="58" t="s">
        <v>201</v>
      </c>
      <c r="B38" s="59" t="s">
        <v>182</v>
      </c>
      <c r="C38" s="59" t="s">
        <v>156</v>
      </c>
      <c r="D38" s="59" t="s">
        <v>162</v>
      </c>
      <c r="E38" s="59" t="s">
        <v>158</v>
      </c>
      <c r="F38" s="46" t="s">
        <v>159</v>
      </c>
      <c r="G38" s="46" t="s">
        <v>111</v>
      </c>
      <c r="H38" s="46">
        <v>1</v>
      </c>
      <c r="I38" s="45" t="s">
        <v>143</v>
      </c>
      <c r="J38" s="45" t="s">
        <v>143</v>
      </c>
      <c r="K38" s="229">
        <f t="shared" si="2"/>
        <v>1459.0000039614799</v>
      </c>
      <c r="L38" s="60"/>
      <c r="M38" s="60"/>
      <c r="N38" s="60"/>
      <c r="O38" s="63"/>
      <c r="P38" s="60"/>
      <c r="Q38" s="60">
        <f>1459000.00396148/1000</f>
        <v>1459.0000039614799</v>
      </c>
      <c r="R38" s="60"/>
      <c r="S38" s="63"/>
      <c r="T38" s="63"/>
      <c r="W38" s="94"/>
    </row>
    <row r="39" spans="1:23" s="53" customFormat="1" ht="42" x14ac:dyDescent="0.2">
      <c r="A39" s="58" t="s">
        <v>202</v>
      </c>
      <c r="B39" s="59" t="s">
        <v>395</v>
      </c>
      <c r="C39" s="59" t="s">
        <v>156</v>
      </c>
      <c r="D39" s="59" t="s">
        <v>157</v>
      </c>
      <c r="E39" s="59" t="s">
        <v>158</v>
      </c>
      <c r="F39" s="46" t="s">
        <v>165</v>
      </c>
      <c r="G39" s="46" t="s">
        <v>111</v>
      </c>
      <c r="H39" s="46">
        <v>1</v>
      </c>
      <c r="I39" s="45" t="s">
        <v>106</v>
      </c>
      <c r="J39" s="45" t="s">
        <v>106</v>
      </c>
      <c r="K39" s="230">
        <f>SUM(L39:R39)</f>
        <v>1016.12</v>
      </c>
      <c r="L39" s="60"/>
      <c r="M39" s="60">
        <v>1016.12</v>
      </c>
      <c r="N39" s="60"/>
      <c r="O39" s="60"/>
      <c r="P39" s="60"/>
      <c r="Q39" s="63"/>
      <c r="R39" s="63"/>
      <c r="S39" s="63"/>
      <c r="T39" s="63"/>
      <c r="W39" s="94"/>
    </row>
    <row r="40" spans="1:23" s="53" customFormat="1" ht="31.5" x14ac:dyDescent="0.2">
      <c r="A40" s="58" t="s">
        <v>203</v>
      </c>
      <c r="B40" s="59" t="s">
        <v>183</v>
      </c>
      <c r="C40" s="59" t="s">
        <v>161</v>
      </c>
      <c r="D40" s="59" t="s">
        <v>162</v>
      </c>
      <c r="E40" s="59" t="s">
        <v>163</v>
      </c>
      <c r="F40" s="46" t="s">
        <v>63</v>
      </c>
      <c r="G40" s="69" t="s">
        <v>185</v>
      </c>
      <c r="H40" s="69" t="s">
        <v>185</v>
      </c>
      <c r="I40" s="45" t="s">
        <v>142</v>
      </c>
      <c r="J40" s="45" t="s">
        <v>142</v>
      </c>
      <c r="K40" s="229">
        <f t="shared" ref="K40:K43" si="3">SUM(L40:R40)</f>
        <v>2511.0000023338703</v>
      </c>
      <c r="L40" s="63"/>
      <c r="M40" s="60"/>
      <c r="N40" s="60"/>
      <c r="O40" s="123"/>
      <c r="P40" s="63">
        <f>2511000.00233387/1000</f>
        <v>2511.0000023338703</v>
      </c>
      <c r="Q40" s="63"/>
      <c r="R40" s="63"/>
      <c r="S40" s="63"/>
      <c r="T40" s="63"/>
      <c r="W40" s="94"/>
    </row>
    <row r="41" spans="1:23" s="53" customFormat="1" ht="31.5" x14ac:dyDescent="0.2">
      <c r="A41" s="58" t="s">
        <v>396</v>
      </c>
      <c r="B41" s="59" t="s">
        <v>184</v>
      </c>
      <c r="C41" s="59" t="s">
        <v>161</v>
      </c>
      <c r="D41" s="59" t="s">
        <v>162</v>
      </c>
      <c r="E41" s="59" t="s">
        <v>163</v>
      </c>
      <c r="F41" s="46" t="s">
        <v>63</v>
      </c>
      <c r="G41" s="69" t="s">
        <v>179</v>
      </c>
      <c r="H41" s="69" t="s">
        <v>179</v>
      </c>
      <c r="I41" s="45" t="s">
        <v>142</v>
      </c>
      <c r="J41" s="45" t="s">
        <v>142</v>
      </c>
      <c r="K41" s="229">
        <f t="shared" si="3"/>
        <v>2165.0000023272401</v>
      </c>
      <c r="L41" s="63"/>
      <c r="M41" s="60"/>
      <c r="N41" s="60"/>
      <c r="O41" s="123"/>
      <c r="P41" s="123">
        <f>2165000.00232724/1000</f>
        <v>2165.0000023272401</v>
      </c>
      <c r="Q41" s="63"/>
      <c r="R41" s="63"/>
      <c r="S41" s="63"/>
      <c r="T41" s="63"/>
      <c r="U41" s="53" t="s">
        <v>135</v>
      </c>
      <c r="W41" s="94"/>
    </row>
    <row r="42" spans="1:23" s="53" customFormat="1" ht="31.5" x14ac:dyDescent="0.2">
      <c r="A42" s="58" t="s">
        <v>204</v>
      </c>
      <c r="B42" s="59" t="s">
        <v>186</v>
      </c>
      <c r="C42" s="59" t="s">
        <v>161</v>
      </c>
      <c r="D42" s="59" t="s">
        <v>162</v>
      </c>
      <c r="E42" s="59" t="s">
        <v>163</v>
      </c>
      <c r="F42" s="46" t="s">
        <v>63</v>
      </c>
      <c r="G42" s="69" t="s">
        <v>179</v>
      </c>
      <c r="H42" s="69" t="s">
        <v>179</v>
      </c>
      <c r="I42" s="45" t="s">
        <v>138</v>
      </c>
      <c r="J42" s="45" t="s">
        <v>138</v>
      </c>
      <c r="K42" s="229">
        <f t="shared" si="3"/>
        <v>2082.9999984502701</v>
      </c>
      <c r="L42" s="63"/>
      <c r="M42" s="60"/>
      <c r="N42" s="60"/>
      <c r="O42" s="123">
        <f>2082999.99845027/1000</f>
        <v>2082.9999984502701</v>
      </c>
      <c r="P42" s="123"/>
      <c r="Q42" s="63"/>
      <c r="R42" s="63"/>
      <c r="S42" s="63"/>
      <c r="T42" s="63"/>
      <c r="U42" s="53" t="s">
        <v>135</v>
      </c>
      <c r="W42" s="94"/>
    </row>
    <row r="43" spans="1:23" s="53" customFormat="1" ht="21" x14ac:dyDescent="0.2">
      <c r="A43" s="58" t="s">
        <v>205</v>
      </c>
      <c r="B43" s="59" t="s">
        <v>187</v>
      </c>
      <c r="C43" s="59" t="s">
        <v>161</v>
      </c>
      <c r="D43" s="59" t="s">
        <v>162</v>
      </c>
      <c r="E43" s="59" t="s">
        <v>163</v>
      </c>
      <c r="F43" s="46" t="s">
        <v>63</v>
      </c>
      <c r="G43" s="69" t="s">
        <v>188</v>
      </c>
      <c r="H43" s="69" t="s">
        <v>188</v>
      </c>
      <c r="I43" s="45" t="s">
        <v>138</v>
      </c>
      <c r="J43" s="45" t="s">
        <v>138</v>
      </c>
      <c r="K43" s="229">
        <f t="shared" si="3"/>
        <v>500.00002069231698</v>
      </c>
      <c r="L43" s="63"/>
      <c r="M43" s="60"/>
      <c r="N43" s="60"/>
      <c r="O43" s="123">
        <f>500000.020692317/1000</f>
        <v>500.00002069231698</v>
      </c>
      <c r="P43" s="123"/>
      <c r="Q43" s="63"/>
      <c r="R43" s="63"/>
      <c r="S43" s="63"/>
      <c r="T43" s="63"/>
      <c r="U43" s="53" t="s">
        <v>135</v>
      </c>
      <c r="W43" s="94"/>
    </row>
    <row r="44" spans="1:23" s="53" customFormat="1" ht="20.25" customHeight="1" x14ac:dyDescent="0.2">
      <c r="A44" s="58" t="s">
        <v>206</v>
      </c>
      <c r="B44" s="59" t="s">
        <v>189</v>
      </c>
      <c r="C44" s="59" t="s">
        <v>161</v>
      </c>
      <c r="D44" s="59" t="s">
        <v>150</v>
      </c>
      <c r="E44" s="59" t="s">
        <v>163</v>
      </c>
      <c r="F44" s="46" t="s">
        <v>63</v>
      </c>
      <c r="G44" s="69" t="s">
        <v>179</v>
      </c>
      <c r="H44" s="69" t="s">
        <v>179</v>
      </c>
      <c r="I44" s="45" t="s">
        <v>106</v>
      </c>
      <c r="J44" s="45" t="s">
        <v>106</v>
      </c>
      <c r="K44" s="229">
        <f>SUM(M44:R44)</f>
        <v>1945.47001938528</v>
      </c>
      <c r="L44" s="60"/>
      <c r="M44" s="60">
        <f>1945470.01938528/1000</f>
        <v>1945.47001938528</v>
      </c>
      <c r="N44" s="60"/>
      <c r="O44" s="60"/>
      <c r="P44" s="60"/>
      <c r="Q44" s="60"/>
      <c r="R44" s="60"/>
      <c r="S44" s="60"/>
      <c r="T44" s="63"/>
      <c r="W44" s="94"/>
    </row>
    <row r="45" spans="1:23" s="53" customFormat="1" ht="25.5" customHeight="1" x14ac:dyDescent="0.2">
      <c r="A45" s="58" t="s">
        <v>207</v>
      </c>
      <c r="B45" s="59" t="s">
        <v>190</v>
      </c>
      <c r="C45" s="59" t="s">
        <v>161</v>
      </c>
      <c r="D45" s="59" t="s">
        <v>150</v>
      </c>
      <c r="E45" s="59" t="s">
        <v>163</v>
      </c>
      <c r="F45" s="46" t="s">
        <v>63</v>
      </c>
      <c r="G45" s="69" t="s">
        <v>179</v>
      </c>
      <c r="H45" s="69" t="s">
        <v>179</v>
      </c>
      <c r="I45" s="45" t="s">
        <v>142</v>
      </c>
      <c r="J45" s="45" t="s">
        <v>142</v>
      </c>
      <c r="K45" s="229">
        <f t="shared" ref="K45:K50" si="4">SUM(M45:R45)</f>
        <v>2182.0011967083701</v>
      </c>
      <c r="L45" s="60"/>
      <c r="M45" s="60"/>
      <c r="N45" s="60"/>
      <c r="O45" s="60"/>
      <c r="P45" s="98">
        <f>2182001.19670837/1000</f>
        <v>2182.0011967083701</v>
      </c>
      <c r="Q45" s="60"/>
      <c r="R45" s="60"/>
      <c r="S45" s="60"/>
      <c r="T45" s="63"/>
      <c r="W45" s="94"/>
    </row>
    <row r="46" spans="1:23" s="53" customFormat="1" ht="27" customHeight="1" x14ac:dyDescent="0.2">
      <c r="A46" s="58" t="s">
        <v>208</v>
      </c>
      <c r="B46" s="59" t="s">
        <v>191</v>
      </c>
      <c r="C46" s="59" t="s">
        <v>161</v>
      </c>
      <c r="D46" s="59" t="s">
        <v>150</v>
      </c>
      <c r="E46" s="59" t="s">
        <v>163</v>
      </c>
      <c r="F46" s="46" t="s">
        <v>63</v>
      </c>
      <c r="G46" s="69" t="s">
        <v>192</v>
      </c>
      <c r="H46" s="69" t="s">
        <v>192</v>
      </c>
      <c r="I46" s="45" t="s">
        <v>110</v>
      </c>
      <c r="J46" s="45" t="s">
        <v>110</v>
      </c>
      <c r="K46" s="229">
        <f t="shared" si="4"/>
        <v>1850.00000897113</v>
      </c>
      <c r="L46" s="123"/>
      <c r="M46" s="60"/>
      <c r="N46" s="60">
        <f>1850000.00897113/1000</f>
        <v>1850.00000897113</v>
      </c>
      <c r="O46" s="60"/>
      <c r="P46" s="60"/>
      <c r="Q46" s="60"/>
      <c r="R46" s="60"/>
      <c r="S46" s="60"/>
      <c r="T46" s="63"/>
      <c r="W46" s="94"/>
    </row>
    <row r="47" spans="1:23" s="53" customFormat="1" ht="27" customHeight="1" x14ac:dyDescent="0.2">
      <c r="A47" s="58" t="s">
        <v>209</v>
      </c>
      <c r="B47" s="59" t="s">
        <v>193</v>
      </c>
      <c r="C47" s="59" t="s">
        <v>161</v>
      </c>
      <c r="D47" s="59" t="s">
        <v>150</v>
      </c>
      <c r="E47" s="59" t="s">
        <v>163</v>
      </c>
      <c r="F47" s="46" t="s">
        <v>63</v>
      </c>
      <c r="G47" s="69" t="s">
        <v>194</v>
      </c>
      <c r="H47" s="69" t="s">
        <v>194</v>
      </c>
      <c r="I47" s="45" t="s">
        <v>110</v>
      </c>
      <c r="J47" s="45" t="s">
        <v>110</v>
      </c>
      <c r="K47" s="229">
        <f t="shared" si="4"/>
        <v>2021.0000213493299</v>
      </c>
      <c r="L47" s="123"/>
      <c r="M47" s="60"/>
      <c r="N47" s="123">
        <f>2021000.02134933/1000</f>
        <v>2021.0000213493299</v>
      </c>
      <c r="O47" s="60"/>
      <c r="P47" s="60"/>
      <c r="Q47" s="60"/>
      <c r="R47" s="60"/>
      <c r="S47" s="60"/>
      <c r="T47" s="63"/>
      <c r="W47" s="94"/>
    </row>
    <row r="48" spans="1:23" s="53" customFormat="1" ht="31.5" x14ac:dyDescent="0.2">
      <c r="A48" s="58" t="s">
        <v>210</v>
      </c>
      <c r="B48" s="59" t="s">
        <v>195</v>
      </c>
      <c r="C48" s="59" t="s">
        <v>161</v>
      </c>
      <c r="D48" s="59" t="s">
        <v>150</v>
      </c>
      <c r="E48" s="59" t="s">
        <v>163</v>
      </c>
      <c r="F48" s="46" t="s">
        <v>63</v>
      </c>
      <c r="G48" s="69" t="s">
        <v>180</v>
      </c>
      <c r="H48" s="69" t="s">
        <v>180</v>
      </c>
      <c r="I48" s="45" t="s">
        <v>143</v>
      </c>
      <c r="J48" s="45" t="s">
        <v>143</v>
      </c>
      <c r="K48" s="229">
        <f t="shared" si="4"/>
        <v>4534.9999954673794</v>
      </c>
      <c r="L48" s="63"/>
      <c r="M48" s="60"/>
      <c r="N48" s="60"/>
      <c r="O48" s="123"/>
      <c r="P48" s="60"/>
      <c r="Q48" s="123">
        <f>4534999.99546738/1000</f>
        <v>4534.9999954673794</v>
      </c>
      <c r="R48" s="63"/>
      <c r="S48" s="63"/>
      <c r="T48" s="63"/>
      <c r="W48" s="94"/>
    </row>
    <row r="49" spans="1:27" s="53" customFormat="1" ht="31.5" x14ac:dyDescent="0.2">
      <c r="A49" s="58" t="s">
        <v>211</v>
      </c>
      <c r="B49" s="59" t="s">
        <v>196</v>
      </c>
      <c r="C49" s="59" t="s">
        <v>161</v>
      </c>
      <c r="D49" s="59" t="s">
        <v>150</v>
      </c>
      <c r="E49" s="59" t="s">
        <v>163</v>
      </c>
      <c r="F49" s="46" t="s">
        <v>63</v>
      </c>
      <c r="G49" s="69" t="s">
        <v>192</v>
      </c>
      <c r="H49" s="69" t="s">
        <v>192</v>
      </c>
      <c r="I49" s="45" t="s">
        <v>110</v>
      </c>
      <c r="J49" s="45" t="s">
        <v>110</v>
      </c>
      <c r="K49" s="229">
        <f t="shared" si="4"/>
        <v>1850.00000897113</v>
      </c>
      <c r="L49" s="123"/>
      <c r="M49" s="60"/>
      <c r="N49" s="60">
        <f>1850000.00897113/1000</f>
        <v>1850.00000897113</v>
      </c>
      <c r="O49" s="60"/>
      <c r="P49" s="60"/>
      <c r="Q49" s="60"/>
      <c r="R49" s="60"/>
      <c r="S49" s="60"/>
      <c r="T49" s="63"/>
      <c r="W49" s="94"/>
    </row>
    <row r="50" spans="1:27" s="53" customFormat="1" ht="25.5" customHeight="1" x14ac:dyDescent="0.2">
      <c r="A50" s="58" t="s">
        <v>212</v>
      </c>
      <c r="B50" s="59" t="s">
        <v>197</v>
      </c>
      <c r="C50" s="59" t="s">
        <v>161</v>
      </c>
      <c r="D50" s="59" t="s">
        <v>150</v>
      </c>
      <c r="E50" s="59" t="s">
        <v>163</v>
      </c>
      <c r="F50" s="46" t="s">
        <v>63</v>
      </c>
      <c r="G50" s="69" t="s">
        <v>179</v>
      </c>
      <c r="H50" s="69" t="s">
        <v>179</v>
      </c>
      <c r="I50" s="45" t="s">
        <v>142</v>
      </c>
      <c r="J50" s="45" t="s">
        <v>142</v>
      </c>
      <c r="K50" s="229">
        <f t="shared" si="4"/>
        <v>2182.0015947085399</v>
      </c>
      <c r="L50" s="60"/>
      <c r="M50" s="60"/>
      <c r="N50" s="60"/>
      <c r="O50" s="60"/>
      <c r="P50" s="123">
        <f>2182001.59470854/1000</f>
        <v>2182.0015947085399</v>
      </c>
      <c r="Q50" s="60"/>
      <c r="R50" s="60"/>
      <c r="S50" s="60"/>
      <c r="T50" s="63"/>
      <c r="W50" s="94"/>
    </row>
    <row r="51" spans="1:27" s="53" customFormat="1" ht="24.75" customHeight="1" x14ac:dyDescent="0.2">
      <c r="A51" s="58" t="s">
        <v>213</v>
      </c>
      <c r="B51" s="59" t="s">
        <v>166</v>
      </c>
      <c r="C51" s="59" t="s">
        <v>161</v>
      </c>
      <c r="D51" s="59" t="s">
        <v>157</v>
      </c>
      <c r="E51" s="59" t="s">
        <v>163</v>
      </c>
      <c r="F51" s="46" t="s">
        <v>63</v>
      </c>
      <c r="G51" s="69" t="s">
        <v>167</v>
      </c>
      <c r="H51" s="69" t="s">
        <v>167</v>
      </c>
      <c r="I51" s="45" t="s">
        <v>110</v>
      </c>
      <c r="J51" s="45" t="s">
        <v>110</v>
      </c>
      <c r="K51" s="231">
        <f t="shared" ref="K51:K61" si="5">SUM(L51:R51)</f>
        <v>5184.0699998700502</v>
      </c>
      <c r="L51" s="60"/>
      <c r="M51" s="60"/>
      <c r="N51" s="60">
        <f>5184069.99987005/1000</f>
        <v>5184.0699998700502</v>
      </c>
      <c r="O51" s="60"/>
      <c r="P51" s="60"/>
      <c r="Q51" s="60"/>
      <c r="R51" s="60"/>
      <c r="S51" s="60"/>
      <c r="T51" s="60"/>
      <c r="W51" s="94"/>
    </row>
    <row r="52" spans="1:27" s="53" customFormat="1" ht="24" customHeight="1" x14ac:dyDescent="0.2">
      <c r="A52" s="58" t="s">
        <v>214</v>
      </c>
      <c r="B52" s="59" t="s">
        <v>169</v>
      </c>
      <c r="C52" s="59" t="s">
        <v>161</v>
      </c>
      <c r="D52" s="59" t="s">
        <v>157</v>
      </c>
      <c r="E52" s="59" t="s">
        <v>163</v>
      </c>
      <c r="F52" s="46" t="s">
        <v>63</v>
      </c>
      <c r="G52" s="69" t="s">
        <v>168</v>
      </c>
      <c r="H52" s="69" t="s">
        <v>168</v>
      </c>
      <c r="I52" s="45" t="s">
        <v>142</v>
      </c>
      <c r="J52" s="45" t="s">
        <v>142</v>
      </c>
      <c r="K52" s="231">
        <f t="shared" si="5"/>
        <v>1610.3</v>
      </c>
      <c r="L52" s="60"/>
      <c r="M52" s="60"/>
      <c r="N52" s="60"/>
      <c r="O52" s="60"/>
      <c r="P52" s="60">
        <v>1610.3</v>
      </c>
      <c r="Q52" s="60"/>
      <c r="R52" s="60"/>
      <c r="S52" s="60"/>
      <c r="T52" s="60">
        <v>0</v>
      </c>
      <c r="W52" s="94"/>
    </row>
    <row r="53" spans="1:27" s="53" customFormat="1" ht="20.25" customHeight="1" x14ac:dyDescent="0.2">
      <c r="A53" s="58" t="s">
        <v>215</v>
      </c>
      <c r="B53" s="59" t="s">
        <v>170</v>
      </c>
      <c r="C53" s="59" t="s">
        <v>161</v>
      </c>
      <c r="D53" s="59" t="s">
        <v>157</v>
      </c>
      <c r="E53" s="59" t="s">
        <v>163</v>
      </c>
      <c r="F53" s="46" t="s">
        <v>63</v>
      </c>
      <c r="G53" s="69" t="s">
        <v>171</v>
      </c>
      <c r="H53" s="69" t="s">
        <v>171</v>
      </c>
      <c r="I53" s="45" t="s">
        <v>144</v>
      </c>
      <c r="J53" s="45" t="s">
        <v>144</v>
      </c>
      <c r="K53" s="231">
        <f t="shared" si="5"/>
        <v>3223.81</v>
      </c>
      <c r="L53" s="60"/>
      <c r="M53" s="60"/>
      <c r="N53" s="60"/>
      <c r="O53" s="60"/>
      <c r="P53" s="60"/>
      <c r="Q53" s="60"/>
      <c r="R53" s="60">
        <v>3223.81</v>
      </c>
      <c r="S53" s="60"/>
      <c r="T53" s="60">
        <v>0</v>
      </c>
      <c r="W53" s="94"/>
    </row>
    <row r="54" spans="1:27" s="53" customFormat="1" ht="42" customHeight="1" x14ac:dyDescent="0.2">
      <c r="A54" s="58" t="s">
        <v>216</v>
      </c>
      <c r="B54" s="59" t="s">
        <v>172</v>
      </c>
      <c r="C54" s="59" t="s">
        <v>161</v>
      </c>
      <c r="D54" s="59" t="s">
        <v>157</v>
      </c>
      <c r="E54" s="59" t="s">
        <v>176</v>
      </c>
      <c r="F54" s="46" t="s">
        <v>173</v>
      </c>
      <c r="G54" s="69" t="s">
        <v>174</v>
      </c>
      <c r="H54" s="69" t="s">
        <v>175</v>
      </c>
      <c r="I54" s="45" t="s">
        <v>142</v>
      </c>
      <c r="J54" s="45" t="s">
        <v>142</v>
      </c>
      <c r="K54" s="231">
        <f t="shared" si="5"/>
        <v>4439.5200000000004</v>
      </c>
      <c r="L54" s="60"/>
      <c r="M54" s="60"/>
      <c r="N54" s="60"/>
      <c r="O54" s="60"/>
      <c r="P54" s="60">
        <v>4439.5200000000004</v>
      </c>
      <c r="Q54" s="60"/>
      <c r="R54" s="60"/>
      <c r="S54" s="60"/>
      <c r="T54" s="60">
        <v>0</v>
      </c>
      <c r="W54" s="94"/>
    </row>
    <row r="55" spans="1:27" s="53" customFormat="1" ht="21" customHeight="1" x14ac:dyDescent="0.2">
      <c r="A55" s="58" t="s">
        <v>217</v>
      </c>
      <c r="B55" s="59" t="s">
        <v>177</v>
      </c>
      <c r="C55" s="59" t="s">
        <v>164</v>
      </c>
      <c r="D55" s="59" t="s">
        <v>157</v>
      </c>
      <c r="E55" s="59" t="s">
        <v>158</v>
      </c>
      <c r="F55" s="46" t="s">
        <v>165</v>
      </c>
      <c r="G55" s="46"/>
      <c r="H55" s="46"/>
      <c r="I55" s="45" t="s">
        <v>110</v>
      </c>
      <c r="J55" s="45" t="s">
        <v>138</v>
      </c>
      <c r="K55" s="231">
        <f t="shared" si="5"/>
        <v>6718.2900612273797</v>
      </c>
      <c r="L55" s="60"/>
      <c r="M55" s="60"/>
      <c r="N55" s="60">
        <v>1557.11986</v>
      </c>
      <c r="O55" s="60">
        <f>5161170.20122738/1000</f>
        <v>5161.1702012273799</v>
      </c>
      <c r="P55" s="60"/>
      <c r="Q55" s="60"/>
      <c r="R55" s="60"/>
      <c r="S55" s="63"/>
      <c r="T55" s="63">
        <v>0</v>
      </c>
      <c r="W55" s="94"/>
    </row>
    <row r="56" spans="1:27" s="53" customFormat="1" ht="31.5" x14ac:dyDescent="0.2">
      <c r="A56" s="58" t="s">
        <v>491</v>
      </c>
      <c r="B56" s="59" t="s">
        <v>492</v>
      </c>
      <c r="C56" s="59" t="s">
        <v>161</v>
      </c>
      <c r="D56" s="59" t="s">
        <v>486</v>
      </c>
      <c r="E56" s="59" t="s">
        <v>163</v>
      </c>
      <c r="F56" s="46" t="s">
        <v>63</v>
      </c>
      <c r="G56" s="69" t="s">
        <v>493</v>
      </c>
      <c r="H56" s="69" t="s">
        <v>493</v>
      </c>
      <c r="I56" s="202" t="s">
        <v>106</v>
      </c>
      <c r="J56" s="45" t="s">
        <v>110</v>
      </c>
      <c r="K56" s="98">
        <f t="shared" si="5"/>
        <v>1900</v>
      </c>
      <c r="L56" s="60"/>
      <c r="M56" s="201">
        <v>1900</v>
      </c>
      <c r="N56" s="60"/>
      <c r="O56" s="60"/>
      <c r="P56" s="60"/>
      <c r="Q56" s="60"/>
      <c r="R56" s="60"/>
      <c r="S56" s="60"/>
      <c r="T56" s="63"/>
      <c r="W56" s="94"/>
      <c r="AA56" s="53">
        <v>0</v>
      </c>
    </row>
    <row r="57" spans="1:27" s="53" customFormat="1" ht="21" x14ac:dyDescent="0.2">
      <c r="A57" s="58" t="s">
        <v>494</v>
      </c>
      <c r="B57" s="59" t="s">
        <v>495</v>
      </c>
      <c r="C57" s="59" t="s">
        <v>161</v>
      </c>
      <c r="D57" s="59" t="s">
        <v>486</v>
      </c>
      <c r="E57" s="59" t="s">
        <v>163</v>
      </c>
      <c r="F57" s="46" t="s">
        <v>63</v>
      </c>
      <c r="G57" s="69" t="s">
        <v>496</v>
      </c>
      <c r="H57" s="69" t="s">
        <v>496</v>
      </c>
      <c r="I57" s="202" t="s">
        <v>106</v>
      </c>
      <c r="J57" s="45" t="s">
        <v>138</v>
      </c>
      <c r="K57" s="98">
        <f>SUM(L57:R57)</f>
        <v>440.56</v>
      </c>
      <c r="L57" s="60"/>
      <c r="M57" s="201">
        <v>440.56</v>
      </c>
      <c r="N57" s="60"/>
      <c r="O57" s="60"/>
      <c r="P57" s="60"/>
      <c r="Q57" s="60"/>
      <c r="R57" s="60"/>
      <c r="S57" s="60">
        <v>1819.44</v>
      </c>
      <c r="T57" s="63"/>
      <c r="W57" s="94"/>
    </row>
    <row r="58" spans="1:27" s="53" customFormat="1" ht="21" x14ac:dyDescent="0.2">
      <c r="A58" s="58" t="s">
        <v>497</v>
      </c>
      <c r="B58" s="232" t="s">
        <v>498</v>
      </c>
      <c r="C58" s="232" t="s">
        <v>161</v>
      </c>
      <c r="D58" s="232" t="s">
        <v>486</v>
      </c>
      <c r="E58" s="232" t="s">
        <v>163</v>
      </c>
      <c r="F58" s="233" t="s">
        <v>63</v>
      </c>
      <c r="G58" s="234" t="s">
        <v>496</v>
      </c>
      <c r="H58" s="234" t="s">
        <v>496</v>
      </c>
      <c r="I58" s="235" t="s">
        <v>142</v>
      </c>
      <c r="J58" s="235" t="s">
        <v>142</v>
      </c>
      <c r="K58" s="236">
        <f>SUM(L58:R58)</f>
        <v>0</v>
      </c>
      <c r="L58" s="237"/>
      <c r="M58" s="237"/>
      <c r="N58" s="237"/>
      <c r="O58" s="237"/>
      <c r="P58" s="237"/>
      <c r="Q58" s="237"/>
      <c r="R58" s="237"/>
      <c r="S58" s="237">
        <v>2418.06</v>
      </c>
      <c r="T58" s="238"/>
      <c r="W58" s="94" t="s">
        <v>507</v>
      </c>
    </row>
    <row r="59" spans="1:27" s="53" customFormat="1" ht="21" x14ac:dyDescent="0.2">
      <c r="A59" s="58" t="s">
        <v>499</v>
      </c>
      <c r="B59" s="232" t="s">
        <v>500</v>
      </c>
      <c r="C59" s="232" t="s">
        <v>161</v>
      </c>
      <c r="D59" s="232" t="s">
        <v>486</v>
      </c>
      <c r="E59" s="232" t="s">
        <v>163</v>
      </c>
      <c r="F59" s="233" t="s">
        <v>63</v>
      </c>
      <c r="G59" s="234" t="s">
        <v>501</v>
      </c>
      <c r="H59" s="234" t="s">
        <v>501</v>
      </c>
      <c r="I59" s="235" t="s">
        <v>143</v>
      </c>
      <c r="J59" s="235" t="s">
        <v>143</v>
      </c>
      <c r="K59" s="236">
        <f>SUM(L59:R59)</f>
        <v>0</v>
      </c>
      <c r="L59" s="237"/>
      <c r="M59" s="237"/>
      <c r="N59" s="237"/>
      <c r="O59" s="237"/>
      <c r="P59" s="237"/>
      <c r="Q59" s="237"/>
      <c r="R59" s="237"/>
      <c r="S59" s="237">
        <v>5120.76</v>
      </c>
      <c r="T59" s="238"/>
      <c r="W59" s="94" t="s">
        <v>507</v>
      </c>
    </row>
    <row r="60" spans="1:27" s="53" customFormat="1" ht="33" customHeight="1" x14ac:dyDescent="0.2">
      <c r="A60" s="58" t="s">
        <v>502</v>
      </c>
      <c r="B60" s="232" t="s">
        <v>503</v>
      </c>
      <c r="C60" s="232" t="s">
        <v>161</v>
      </c>
      <c r="D60" s="232" t="s">
        <v>486</v>
      </c>
      <c r="E60" s="232" t="s">
        <v>158</v>
      </c>
      <c r="F60" s="233" t="s">
        <v>504</v>
      </c>
      <c r="G60" s="234">
        <v>5</v>
      </c>
      <c r="H60" s="234">
        <v>5</v>
      </c>
      <c r="I60" s="235" t="s">
        <v>138</v>
      </c>
      <c r="J60" s="235" t="s">
        <v>138</v>
      </c>
      <c r="K60" s="236">
        <f t="shared" si="5"/>
        <v>0</v>
      </c>
      <c r="L60" s="237"/>
      <c r="M60" s="237"/>
      <c r="N60" s="237"/>
      <c r="O60" s="237"/>
      <c r="P60" s="237"/>
      <c r="Q60" s="237"/>
      <c r="R60" s="237"/>
      <c r="S60" s="237">
        <v>818.8</v>
      </c>
      <c r="T60" s="238"/>
      <c r="W60" s="94" t="s">
        <v>507</v>
      </c>
    </row>
    <row r="61" spans="1:27" s="53" customFormat="1" ht="31.5" x14ac:dyDescent="0.2">
      <c r="A61" s="58" t="s">
        <v>505</v>
      </c>
      <c r="B61" s="59" t="s">
        <v>506</v>
      </c>
      <c r="C61" s="59" t="s">
        <v>161</v>
      </c>
      <c r="D61" s="59" t="s">
        <v>486</v>
      </c>
      <c r="E61" s="59" t="s">
        <v>158</v>
      </c>
      <c r="F61" s="46" t="s">
        <v>504</v>
      </c>
      <c r="G61" s="69">
        <v>3</v>
      </c>
      <c r="H61" s="69">
        <v>3</v>
      </c>
      <c r="I61" s="202" t="s">
        <v>106</v>
      </c>
      <c r="J61" s="45" t="s">
        <v>110</v>
      </c>
      <c r="K61" s="98">
        <f t="shared" si="5"/>
        <v>397.4</v>
      </c>
      <c r="L61" s="60"/>
      <c r="M61" s="201">
        <v>397.4</v>
      </c>
      <c r="N61" s="60"/>
      <c r="O61" s="60"/>
      <c r="P61" s="60"/>
      <c r="Q61" s="60"/>
      <c r="R61" s="60"/>
      <c r="S61" s="60"/>
      <c r="T61" s="63"/>
      <c r="W61" s="94"/>
    </row>
    <row r="62" spans="1:27" s="53" customFormat="1" ht="32.25" customHeight="1" x14ac:dyDescent="0.2">
      <c r="A62" s="99"/>
      <c r="B62" s="59"/>
      <c r="C62" s="59"/>
      <c r="D62" s="59"/>
      <c r="E62" s="59"/>
      <c r="F62" s="46"/>
      <c r="G62" s="46"/>
      <c r="H62" s="46"/>
      <c r="I62" s="45"/>
      <c r="J62" s="45"/>
      <c r="K62" s="98"/>
      <c r="L62" s="60"/>
      <c r="M62" s="60"/>
      <c r="N62" s="60"/>
      <c r="O62" s="60"/>
      <c r="P62" s="60"/>
      <c r="Q62" s="60"/>
      <c r="R62" s="60"/>
      <c r="S62" s="63"/>
      <c r="T62" s="63"/>
      <c r="W62" s="94"/>
    </row>
    <row r="63" spans="1:27" s="53" customFormat="1" ht="10.5" x14ac:dyDescent="0.2">
      <c r="A63" s="99"/>
      <c r="B63" s="59"/>
      <c r="C63" s="59"/>
      <c r="D63" s="59"/>
      <c r="E63" s="59"/>
      <c r="F63" s="46"/>
      <c r="G63" s="46"/>
      <c r="H63" s="46"/>
      <c r="I63" s="45"/>
      <c r="J63" s="45"/>
      <c r="K63" s="60"/>
      <c r="L63" s="60"/>
      <c r="M63" s="60"/>
      <c r="N63" s="60"/>
      <c r="O63" s="60"/>
      <c r="P63" s="60"/>
      <c r="Q63" s="60"/>
      <c r="R63" s="60"/>
      <c r="S63" s="60"/>
      <c r="T63" s="60"/>
      <c r="W63" s="94"/>
    </row>
    <row r="64" spans="1:27" s="53" customFormat="1" ht="10.5" x14ac:dyDescent="0.2">
      <c r="A64" s="99"/>
      <c r="B64" s="59"/>
      <c r="C64" s="59"/>
      <c r="D64" s="59"/>
      <c r="E64" s="59"/>
      <c r="F64" s="46"/>
      <c r="G64" s="69"/>
      <c r="H64" s="69"/>
      <c r="I64" s="45"/>
      <c r="J64" s="45"/>
      <c r="K64" s="60"/>
      <c r="L64" s="63"/>
      <c r="M64" s="63"/>
      <c r="N64" s="63"/>
      <c r="O64" s="63"/>
      <c r="P64" s="63"/>
      <c r="Q64" s="63"/>
      <c r="R64" s="60"/>
      <c r="S64" s="63"/>
      <c r="T64" s="63"/>
      <c r="W64" s="94"/>
    </row>
    <row r="65" spans="1:24" s="53" customFormat="1" ht="10.5" x14ac:dyDescent="0.2">
      <c r="A65" s="113"/>
      <c r="B65" s="114"/>
      <c r="C65" s="114"/>
      <c r="D65" s="114"/>
      <c r="E65" s="114"/>
      <c r="F65" s="115"/>
      <c r="G65" s="116"/>
      <c r="H65" s="116"/>
      <c r="I65" s="117"/>
      <c r="J65" s="117"/>
      <c r="K65" s="118"/>
      <c r="L65" s="119"/>
      <c r="M65" s="119"/>
      <c r="N65" s="119"/>
      <c r="O65" s="119"/>
      <c r="P65" s="119"/>
      <c r="Q65" s="119"/>
      <c r="R65" s="118"/>
      <c r="S65" s="119"/>
      <c r="T65" s="119"/>
      <c r="W65" s="94"/>
    </row>
    <row r="66" spans="1:24" s="1" customFormat="1" ht="13.9" customHeight="1" thickBot="1" x14ac:dyDescent="0.25">
      <c r="A66" s="458" t="s">
        <v>19</v>
      </c>
      <c r="B66" s="459"/>
      <c r="C66" s="459"/>
      <c r="D66" s="459"/>
      <c r="E66" s="459"/>
      <c r="F66" s="459"/>
      <c r="G66" s="459"/>
      <c r="H66" s="459"/>
      <c r="I66" s="459"/>
      <c r="J66" s="460"/>
      <c r="K66" s="95">
        <f>SUM(K35:K61,K32)</f>
        <v>56910.242946126709</v>
      </c>
      <c r="L66" s="95">
        <f t="shared" ref="L66:T66" si="6">SUM(L35:L65,L32)</f>
        <v>0</v>
      </c>
      <c r="M66" s="95">
        <f t="shared" si="6"/>
        <v>6999.5500193852795</v>
      </c>
      <c r="N66" s="95">
        <f t="shared" si="6"/>
        <v>12462.189899161642</v>
      </c>
      <c r="O66" s="95">
        <f t="shared" si="6"/>
        <v>11872.170227232808</v>
      </c>
      <c r="P66" s="95">
        <f t="shared" si="6"/>
        <v>15089.82279607802</v>
      </c>
      <c r="Q66" s="95">
        <f t="shared" si="6"/>
        <v>7262.7000042689597</v>
      </c>
      <c r="R66" s="95">
        <f t="shared" si="6"/>
        <v>3223.81</v>
      </c>
      <c r="S66" s="95">
        <f t="shared" si="6"/>
        <v>22132.379999999997</v>
      </c>
      <c r="T66" s="95">
        <f t="shared" si="6"/>
        <v>0</v>
      </c>
    </row>
    <row r="67" spans="1:24" s="13" customFormat="1" ht="19.149999999999999" hidden="1" customHeight="1" x14ac:dyDescent="0.2">
      <c r="A67" s="476" t="s">
        <v>20</v>
      </c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</row>
    <row r="68" spans="1:24" s="1" customFormat="1" ht="49.9" hidden="1" customHeight="1" x14ac:dyDescent="0.2">
      <c r="A68" s="46"/>
      <c r="B68" s="59"/>
      <c r="C68" s="59"/>
      <c r="D68" s="59"/>
      <c r="E68" s="59"/>
      <c r="F68" s="46"/>
      <c r="G68" s="46"/>
      <c r="H68" s="46"/>
      <c r="I68" s="45"/>
      <c r="J68" s="45"/>
      <c r="K68" s="60"/>
      <c r="L68" s="60"/>
      <c r="M68" s="60"/>
      <c r="N68" s="60"/>
      <c r="O68" s="60"/>
      <c r="P68" s="60"/>
      <c r="Q68" s="60"/>
      <c r="R68" s="60"/>
      <c r="S68" s="60"/>
      <c r="T68" s="62"/>
      <c r="U68" s="92"/>
      <c r="W68" s="94"/>
    </row>
    <row r="69" spans="1:24" s="1" customFormat="1" ht="11.25" hidden="1" thickBot="1" x14ac:dyDescent="0.25">
      <c r="A69" s="111"/>
      <c r="B69" s="67"/>
      <c r="C69" s="59"/>
      <c r="D69" s="67"/>
      <c r="E69" s="59"/>
      <c r="F69" s="46"/>
      <c r="G69" s="46"/>
      <c r="H69" s="68"/>
      <c r="I69" s="45"/>
      <c r="J69" s="45"/>
      <c r="K69" s="60"/>
      <c r="L69" s="60"/>
      <c r="M69" s="100"/>
      <c r="N69" s="100"/>
      <c r="O69" s="100"/>
      <c r="P69" s="100"/>
      <c r="Q69" s="100"/>
      <c r="R69" s="100"/>
      <c r="S69" s="110"/>
      <c r="T69" s="112"/>
      <c r="U69" s="92"/>
      <c r="W69" s="94"/>
    </row>
    <row r="70" spans="1:24" s="1" customFormat="1" ht="11.25" hidden="1" thickBot="1" x14ac:dyDescent="0.25">
      <c r="A70" s="68"/>
      <c r="B70" s="59"/>
      <c r="C70" s="59"/>
      <c r="D70" s="67"/>
      <c r="E70" s="59"/>
      <c r="F70" s="46"/>
      <c r="G70" s="46"/>
      <c r="H70" s="68"/>
      <c r="I70" s="45"/>
      <c r="J70" s="45"/>
      <c r="K70" s="60"/>
      <c r="L70" s="63"/>
      <c r="M70" s="64"/>
      <c r="N70" s="64"/>
      <c r="O70" s="64"/>
      <c r="P70" s="100"/>
      <c r="Q70" s="64"/>
      <c r="R70" s="64"/>
      <c r="S70" s="63"/>
      <c r="T70" s="62"/>
      <c r="U70" s="92"/>
      <c r="W70" s="94"/>
    </row>
    <row r="71" spans="1:24" s="1" customFormat="1" ht="11.25" hidden="1" thickBot="1" x14ac:dyDescent="0.25">
      <c r="A71" s="68"/>
      <c r="B71" s="67"/>
      <c r="C71" s="67"/>
      <c r="D71" s="67"/>
      <c r="E71" s="67"/>
      <c r="F71" s="70"/>
      <c r="G71" s="70"/>
      <c r="H71" s="70"/>
      <c r="I71" s="71"/>
      <c r="J71" s="71"/>
      <c r="K71" s="101"/>
      <c r="L71" s="101"/>
      <c r="M71" s="101"/>
      <c r="N71" s="101"/>
      <c r="O71" s="101"/>
      <c r="P71" s="101"/>
      <c r="Q71" s="101"/>
      <c r="R71" s="101"/>
      <c r="S71" s="98"/>
      <c r="T71" s="102"/>
      <c r="U71" s="92"/>
      <c r="W71" s="94"/>
    </row>
    <row r="72" spans="1:24" s="1" customFormat="1" ht="9" hidden="1" customHeight="1" x14ac:dyDescent="0.2">
      <c r="A72" s="458" t="s">
        <v>21</v>
      </c>
      <c r="B72" s="459"/>
      <c r="C72" s="459"/>
      <c r="D72" s="459"/>
      <c r="E72" s="459"/>
      <c r="F72" s="459"/>
      <c r="G72" s="459"/>
      <c r="H72" s="459"/>
      <c r="I72" s="459"/>
      <c r="J72" s="460"/>
      <c r="K72" s="95">
        <f>SUM(K68:K71)</f>
        <v>0</v>
      </c>
      <c r="L72" s="95">
        <f>SUM(L68:L71)</f>
        <v>0</v>
      </c>
      <c r="M72" s="95"/>
      <c r="N72" s="95"/>
      <c r="O72" s="95"/>
      <c r="P72" s="95">
        <f>SUM(P68:P71)</f>
        <v>0</v>
      </c>
      <c r="Q72" s="95">
        <f>SUM(Q68:Q71)</f>
        <v>0</v>
      </c>
      <c r="R72" s="95">
        <f>SUM(R68:R71)</f>
        <v>0</v>
      </c>
      <c r="S72" s="95">
        <f>SUM(S68:S71)</f>
        <v>0</v>
      </c>
      <c r="T72" s="95">
        <f>SUM(T68:T71)</f>
        <v>0</v>
      </c>
    </row>
    <row r="73" spans="1:24" s="13" customFormat="1" ht="9" hidden="1" customHeight="1" x14ac:dyDescent="0.2">
      <c r="A73" s="405" t="s">
        <v>22</v>
      </c>
      <c r="B73" s="405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</row>
    <row r="74" spans="1:24" s="1" customFormat="1" ht="9" hidden="1" customHeight="1" x14ac:dyDescent="0.2">
      <c r="A74" s="415" t="s">
        <v>25</v>
      </c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</row>
    <row r="75" spans="1:24" s="1" customFormat="1" ht="9" hidden="1" customHeight="1" x14ac:dyDescent="0.2">
      <c r="A75" s="415" t="s">
        <v>52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</row>
    <row r="76" spans="1:24" s="1" customFormat="1" ht="9" hidden="1" customHeight="1" x14ac:dyDescent="0.2">
      <c r="A76" s="222" t="s">
        <v>26</v>
      </c>
      <c r="B76" s="55"/>
      <c r="C76" s="55"/>
      <c r="D76" s="55"/>
      <c r="E76" s="55"/>
      <c r="F76" s="56"/>
      <c r="G76" s="56"/>
      <c r="H76" s="56"/>
      <c r="I76" s="57"/>
      <c r="J76" s="57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4" s="1" customFormat="1" ht="9" hidden="1" customHeight="1" x14ac:dyDescent="0.2">
      <c r="A77" s="222" t="s">
        <v>27</v>
      </c>
      <c r="B77" s="55"/>
      <c r="C77" s="55"/>
      <c r="D77" s="55"/>
      <c r="E77" s="55"/>
      <c r="F77" s="56"/>
      <c r="G77" s="56"/>
      <c r="H77" s="56"/>
      <c r="I77" s="57"/>
      <c r="J77" s="57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4" s="1" customFormat="1" ht="9" hidden="1" customHeight="1" thickBot="1" x14ac:dyDescent="0.25">
      <c r="A78" s="474" t="s">
        <v>28</v>
      </c>
      <c r="B78" s="474"/>
      <c r="C78" s="474"/>
      <c r="D78" s="474"/>
      <c r="E78" s="474"/>
      <c r="F78" s="474"/>
      <c r="G78" s="474"/>
      <c r="H78" s="474"/>
      <c r="I78" s="474"/>
      <c r="J78" s="474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1:24" s="13" customFormat="1" ht="12.6" customHeight="1" thickBot="1" x14ac:dyDescent="0.25">
      <c r="A79" s="469" t="s">
        <v>29</v>
      </c>
      <c r="B79" s="470"/>
      <c r="C79" s="470"/>
      <c r="D79" s="470"/>
      <c r="E79" s="470"/>
      <c r="F79" s="470"/>
      <c r="G79" s="470"/>
      <c r="H79" s="470"/>
      <c r="I79" s="470"/>
      <c r="J79" s="470"/>
      <c r="K79" s="124">
        <f>K24+K66</f>
        <v>258291.35412952668</v>
      </c>
      <c r="L79" s="124">
        <f>L24+L66</f>
        <v>201381.11118339997</v>
      </c>
      <c r="M79" s="124">
        <f t="shared" ref="M79:T79" si="7">M24+M66</f>
        <v>6999.5500193852795</v>
      </c>
      <c r="N79" s="124">
        <f t="shared" si="7"/>
        <v>12462.189899161642</v>
      </c>
      <c r="O79" s="124">
        <f t="shared" si="7"/>
        <v>11872.170227232808</v>
      </c>
      <c r="P79" s="124">
        <f t="shared" si="7"/>
        <v>15089.82279607802</v>
      </c>
      <c r="Q79" s="124">
        <f t="shared" si="7"/>
        <v>7262.7000042689597</v>
      </c>
      <c r="R79" s="124">
        <f t="shared" si="7"/>
        <v>3223.81</v>
      </c>
      <c r="S79" s="124">
        <f t="shared" si="7"/>
        <v>22132.379999999997</v>
      </c>
      <c r="T79" s="124">
        <f t="shared" si="7"/>
        <v>0</v>
      </c>
      <c r="U79" s="66"/>
      <c r="V79" s="65"/>
      <c r="W79" s="108"/>
      <c r="X79" s="109" t="s">
        <v>141</v>
      </c>
    </row>
    <row r="80" spans="1:24" s="3" customFormat="1" ht="12.6" customHeight="1" thickBot="1" x14ac:dyDescent="0.25">
      <c r="A80" s="469" t="s">
        <v>218</v>
      </c>
      <c r="B80" s="470"/>
      <c r="C80" s="470"/>
      <c r="D80" s="470"/>
      <c r="E80" s="470"/>
      <c r="F80" s="470"/>
      <c r="G80" s="470"/>
      <c r="H80" s="470"/>
      <c r="I80" s="470"/>
      <c r="J80" s="470"/>
      <c r="K80" s="125">
        <f t="shared" ref="K80:T80" si="8">K17+K19+K20</f>
        <v>201381.11118339997</v>
      </c>
      <c r="L80" s="125">
        <f t="shared" si="8"/>
        <v>201381.11118339997</v>
      </c>
      <c r="M80" s="125">
        <f t="shared" si="8"/>
        <v>0</v>
      </c>
      <c r="N80" s="125">
        <f t="shared" si="8"/>
        <v>0</v>
      </c>
      <c r="O80" s="125">
        <f t="shared" si="8"/>
        <v>0</v>
      </c>
      <c r="P80" s="125">
        <f t="shared" si="8"/>
        <v>0</v>
      </c>
      <c r="Q80" s="125">
        <f t="shared" si="8"/>
        <v>0</v>
      </c>
      <c r="R80" s="125">
        <f t="shared" si="8"/>
        <v>0</v>
      </c>
      <c r="S80" s="125">
        <f t="shared" si="8"/>
        <v>0</v>
      </c>
      <c r="T80" s="125">
        <f t="shared" si="8"/>
        <v>0</v>
      </c>
      <c r="W80" s="108"/>
      <c r="X80" s="109" t="s">
        <v>140</v>
      </c>
    </row>
    <row r="81" spans="2:20" s="3" customFormat="1" ht="55.9" customHeight="1" x14ac:dyDescent="0.2">
      <c r="B81" s="48" t="s">
        <v>124</v>
      </c>
      <c r="C81" s="48"/>
      <c r="D81" s="48"/>
      <c r="E81" s="51"/>
      <c r="F81" s="51"/>
      <c r="G81" s="51"/>
      <c r="H81" s="51"/>
      <c r="I81" s="49"/>
      <c r="J81" s="49"/>
    </row>
    <row r="82" spans="2:20" s="3" customFormat="1" ht="10.5" customHeight="1" x14ac:dyDescent="0.2">
      <c r="B82" s="49"/>
      <c r="C82" s="49"/>
      <c r="D82" s="49"/>
      <c r="E82" s="475" t="s">
        <v>125</v>
      </c>
      <c r="F82" s="475"/>
      <c r="G82" s="475"/>
      <c r="H82" s="475"/>
      <c r="I82" s="49"/>
      <c r="J82" s="49"/>
    </row>
    <row r="83" spans="2:20" s="3" customFormat="1" ht="10.5" customHeight="1" x14ac:dyDescent="0.2">
      <c r="B83" s="49"/>
      <c r="C83" s="49"/>
      <c r="D83" s="49"/>
      <c r="E83" s="223"/>
      <c r="F83" s="223"/>
      <c r="G83" s="223"/>
      <c r="H83" s="223"/>
      <c r="I83" s="49"/>
      <c r="J83" s="52"/>
      <c r="K83" s="103">
        <f>(K79-L79)/1.18</f>
        <v>48229.019445870086</v>
      </c>
      <c r="L83" s="103"/>
      <c r="M83" s="103">
        <f>K79/1.18</f>
        <v>218890.97807587008</v>
      </c>
      <c r="N83" s="103"/>
      <c r="O83" s="103"/>
      <c r="P83" s="103"/>
      <c r="Q83" s="103"/>
      <c r="R83" s="103"/>
      <c r="S83" s="103"/>
      <c r="T83" s="106"/>
    </row>
    <row r="84" spans="2:20" s="3" customFormat="1" ht="10.5" customHeight="1" x14ac:dyDescent="0.2">
      <c r="B84" s="49"/>
      <c r="C84" s="49"/>
      <c r="D84" s="49"/>
      <c r="E84" s="223"/>
      <c r="F84" s="223"/>
      <c r="G84" s="223"/>
      <c r="H84" s="223"/>
      <c r="I84" s="49"/>
      <c r="J84" s="52"/>
      <c r="K84" s="103"/>
      <c r="L84" s="103"/>
      <c r="M84" s="103"/>
      <c r="N84" s="103"/>
      <c r="O84" s="103"/>
      <c r="P84" s="103"/>
      <c r="Q84" s="103"/>
      <c r="R84" s="103"/>
      <c r="S84" s="103"/>
      <c r="T84" s="106"/>
    </row>
    <row r="85" spans="2:20" s="3" customFormat="1" ht="10.5" customHeight="1" x14ac:dyDescent="0.2">
      <c r="B85" s="49"/>
      <c r="C85" s="49"/>
      <c r="D85" s="49"/>
      <c r="E85" s="223"/>
      <c r="F85" s="223"/>
      <c r="G85" s="223"/>
      <c r="H85" s="223"/>
      <c r="I85" s="49"/>
      <c r="J85" s="105"/>
      <c r="K85" s="103"/>
      <c r="L85" s="103"/>
      <c r="M85" s="103"/>
      <c r="N85" s="103"/>
      <c r="O85" s="103"/>
      <c r="P85" s="103"/>
      <c r="Q85" s="103"/>
      <c r="R85" s="103"/>
      <c r="S85" s="103"/>
      <c r="T85" s="106"/>
    </row>
    <row r="86" spans="2:20" s="2" customFormat="1" ht="12" x14ac:dyDescent="0.2">
      <c r="B86" s="48"/>
      <c r="C86" s="48"/>
      <c r="D86" s="48"/>
      <c r="E86" s="51"/>
      <c r="F86" s="51"/>
      <c r="G86" s="51"/>
      <c r="H86" s="51"/>
      <c r="I86" s="225"/>
      <c r="J86" s="52"/>
      <c r="K86" s="103"/>
      <c r="L86" s="103"/>
      <c r="M86" s="103"/>
      <c r="N86" s="103"/>
      <c r="O86" s="103"/>
      <c r="P86" s="103"/>
      <c r="Q86" s="103"/>
      <c r="R86" s="103"/>
      <c r="S86" s="103"/>
      <c r="T86" s="106"/>
    </row>
    <row r="87" spans="2:20" s="3" customFormat="1" ht="12" x14ac:dyDescent="0.2">
      <c r="B87" s="49"/>
      <c r="C87" s="49"/>
      <c r="D87" s="49"/>
      <c r="E87" s="97"/>
      <c r="F87" s="97"/>
      <c r="G87" s="97"/>
      <c r="H87" s="97"/>
      <c r="I87" s="49"/>
      <c r="J87" s="52"/>
      <c r="K87" s="103"/>
      <c r="L87" s="103"/>
      <c r="M87" s="103"/>
      <c r="N87" s="103"/>
      <c r="O87" s="103"/>
      <c r="P87" s="103"/>
      <c r="Q87" s="103"/>
      <c r="R87" s="103"/>
      <c r="S87" s="103"/>
      <c r="T87" s="106"/>
    </row>
    <row r="88" spans="2:20" x14ac:dyDescent="0.2">
      <c r="B88" s="50"/>
      <c r="C88" s="50"/>
      <c r="D88" s="50"/>
      <c r="E88" s="50"/>
      <c r="F88" s="50"/>
      <c r="G88" s="50"/>
      <c r="H88" s="50"/>
      <c r="I88" s="50"/>
      <c r="J88" s="226"/>
      <c r="K88" s="103"/>
      <c r="L88" s="103"/>
      <c r="M88" s="103"/>
      <c r="N88" s="103"/>
      <c r="O88" s="103"/>
      <c r="P88" s="103"/>
      <c r="Q88" s="103"/>
      <c r="R88" s="103"/>
      <c r="S88" s="103"/>
      <c r="T88" s="106"/>
    </row>
    <row r="89" spans="2:20" ht="12.75" customHeight="1" x14ac:dyDescent="0.2">
      <c r="J89" s="227"/>
      <c r="K89" s="103"/>
      <c r="L89" s="103"/>
      <c r="M89" s="103"/>
      <c r="N89" s="103"/>
      <c r="O89" s="103"/>
      <c r="P89" s="103"/>
      <c r="Q89" s="103"/>
      <c r="R89" s="103"/>
      <c r="S89" s="103"/>
      <c r="T89" s="106"/>
    </row>
    <row r="90" spans="2:20" ht="12.75" customHeight="1" x14ac:dyDescent="0.2">
      <c r="J90" s="227"/>
      <c r="K90" s="103"/>
      <c r="L90" s="103"/>
      <c r="M90" s="103"/>
      <c r="N90" s="103"/>
      <c r="O90" s="103"/>
      <c r="P90" s="103"/>
      <c r="Q90" s="103"/>
      <c r="R90" s="103"/>
      <c r="S90" s="103"/>
      <c r="T90" s="106"/>
    </row>
    <row r="91" spans="2:20" ht="12.75" customHeight="1" x14ac:dyDescent="0.2">
      <c r="J91" s="227"/>
      <c r="K91" s="103"/>
      <c r="L91" s="103"/>
      <c r="M91" s="103"/>
      <c r="N91" s="103"/>
      <c r="O91" s="103"/>
      <c r="P91" s="103"/>
      <c r="Q91" s="103"/>
      <c r="R91" s="103"/>
      <c r="S91" s="103"/>
      <c r="T91" s="106"/>
    </row>
    <row r="92" spans="2:20" ht="12.75" customHeight="1" x14ac:dyDescent="0.2">
      <c r="J92" s="227"/>
      <c r="K92" s="103"/>
      <c r="L92" s="103"/>
      <c r="M92" s="103"/>
      <c r="N92" s="103"/>
      <c r="O92" s="103"/>
      <c r="P92" s="103"/>
      <c r="Q92" s="103"/>
      <c r="R92" s="103"/>
      <c r="S92" s="103"/>
      <c r="T92" s="106"/>
    </row>
    <row r="93" spans="2:20" ht="12.75" customHeight="1" x14ac:dyDescent="0.2">
      <c r="J93" s="227"/>
      <c r="K93" s="104"/>
      <c r="L93" s="104"/>
      <c r="M93" s="104"/>
      <c r="N93" s="104"/>
      <c r="O93" s="104"/>
      <c r="P93" s="104"/>
      <c r="Q93" s="104"/>
      <c r="R93" s="104"/>
      <c r="S93" s="104"/>
      <c r="T93" s="106"/>
    </row>
    <row r="94" spans="2:20" ht="12.75" customHeight="1" x14ac:dyDescent="0.2">
      <c r="I94" s="106"/>
      <c r="J94" s="107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 ht="12.75" customHeight="1" x14ac:dyDescent="0.2"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 ht="12.75" customHeight="1" x14ac:dyDescent="0.2"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11:20" ht="12.75" customHeight="1" x14ac:dyDescent="0.2"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11:20" ht="12.75" customHeight="1" x14ac:dyDescent="0.2"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11:20" ht="12.75" customHeight="1" x14ac:dyDescent="0.2"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11:20" ht="12.75" customHeight="1" x14ac:dyDescent="0.2"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1:20" ht="12.75" customHeight="1" x14ac:dyDescent="0.2"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11:20" ht="12.75" customHeight="1" x14ac:dyDescent="0.2"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11:20" ht="12.75" customHeight="1" x14ac:dyDescent="0.2"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11:20" ht="12.75" customHeight="1" x14ac:dyDescent="0.2"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11:20" ht="12.75" customHeight="1" x14ac:dyDescent="0.2"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11:20" ht="12.75" customHeight="1" x14ac:dyDescent="0.2"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11:20" ht="12.75" customHeight="1" x14ac:dyDescent="0.2"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11:20" ht="12.75" customHeight="1" x14ac:dyDescent="0.2"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11:20" ht="12.75" customHeight="1" x14ac:dyDescent="0.2"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</sheetData>
  <mergeCells count="47">
    <mergeCell ref="A8:A13"/>
    <mergeCell ref="B8:B13"/>
    <mergeCell ref="C8:C13"/>
    <mergeCell ref="D8:D13"/>
    <mergeCell ref="E8:H8"/>
    <mergeCell ref="A3:T3"/>
    <mergeCell ref="A4:T4"/>
    <mergeCell ref="A5:T5"/>
    <mergeCell ref="I6:J6"/>
    <mergeCell ref="A7:E7"/>
    <mergeCell ref="R10:R13"/>
    <mergeCell ref="I8:I13"/>
    <mergeCell ref="J8:J13"/>
    <mergeCell ref="K8:T8"/>
    <mergeCell ref="F9:F13"/>
    <mergeCell ref="G9:H9"/>
    <mergeCell ref="K9:K13"/>
    <mergeCell ref="L9:L13"/>
    <mergeCell ref="M9:R9"/>
    <mergeCell ref="S9:S13"/>
    <mergeCell ref="T9:T13"/>
    <mergeCell ref="M10:M13"/>
    <mergeCell ref="N10:N13"/>
    <mergeCell ref="O10:O13"/>
    <mergeCell ref="P10:P13"/>
    <mergeCell ref="Q10:Q13"/>
    <mergeCell ref="A66:J66"/>
    <mergeCell ref="A15:T15"/>
    <mergeCell ref="A16:T16"/>
    <mergeCell ref="A18:T18"/>
    <mergeCell ref="A21:T21"/>
    <mergeCell ref="A22:T22"/>
    <mergeCell ref="A24:J24"/>
    <mergeCell ref="A25:T25"/>
    <mergeCell ref="A29:J29"/>
    <mergeCell ref="A30:T30"/>
    <mergeCell ref="A31:T31"/>
    <mergeCell ref="A34:T34"/>
    <mergeCell ref="A79:J79"/>
    <mergeCell ref="A80:J80"/>
    <mergeCell ref="E82:H82"/>
    <mergeCell ref="A67:T67"/>
    <mergeCell ref="A72:J72"/>
    <mergeCell ref="A73:T73"/>
    <mergeCell ref="A74:T74"/>
    <mergeCell ref="A75:T75"/>
    <mergeCell ref="A78:J78"/>
  </mergeCells>
  <pageMargins left="0.19685039370078741" right="0.19685039370078741" top="0.47244094488188981" bottom="0.23622047244094491" header="0.31496062992125984" footer="0.19685039370078741"/>
  <pageSetup paperSize="9" scale="88" fitToHeight="4" orientation="landscape" r:id="rId1"/>
  <rowBreaks count="1" manualBreakCount="1">
    <brk id="2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0"/>
  <sheetViews>
    <sheetView view="pageBreakPreview" topLeftCell="A73" zoomScale="120" zoomScaleNormal="120" zoomScaleSheetLayoutView="120" workbookViewId="0">
      <selection activeCell="J10" sqref="J10"/>
    </sheetView>
  </sheetViews>
  <sheetFormatPr defaultColWidth="0.85546875" defaultRowHeight="12.75" x14ac:dyDescent="0.2"/>
  <cols>
    <col min="1" max="1" width="4.5703125" style="4" customWidth="1"/>
    <col min="2" max="2" width="41.28515625" style="4" customWidth="1"/>
    <col min="3" max="3" width="13.140625" style="4" customWidth="1"/>
    <col min="4" max="4" width="11.28515625" style="4" customWidth="1"/>
    <col min="5" max="5" width="12.28515625" style="4" customWidth="1"/>
    <col min="6" max="6" width="9.28515625" style="4" customWidth="1"/>
    <col min="7" max="7" width="9.7109375" style="4" customWidth="1"/>
    <col min="8" max="8" width="8.28515625" style="4" customWidth="1"/>
    <col min="9" max="9" width="9.28515625" style="4" customWidth="1"/>
    <col min="10" max="11" width="8.28515625" style="4" customWidth="1"/>
    <col min="12" max="12" width="2.28515625" style="4" customWidth="1"/>
    <col min="13" max="16384" width="0.85546875" style="4"/>
  </cols>
  <sheetData>
    <row r="1" spans="1:11" ht="15" x14ac:dyDescent="0.25">
      <c r="G1" s="127" t="s">
        <v>546</v>
      </c>
    </row>
    <row r="2" spans="1:11" ht="15" x14ac:dyDescent="0.25">
      <c r="G2" s="127" t="s">
        <v>531</v>
      </c>
    </row>
    <row r="3" spans="1:11" ht="15" x14ac:dyDescent="0.25">
      <c r="G3" s="127" t="s">
        <v>532</v>
      </c>
    </row>
    <row r="4" spans="1:11" ht="15" x14ac:dyDescent="0.25">
      <c r="G4" s="127" t="s">
        <v>580</v>
      </c>
    </row>
    <row r="5" spans="1:11" ht="15" x14ac:dyDescent="0.25">
      <c r="G5" s="127"/>
    </row>
    <row r="6" spans="1:11" ht="15.75" x14ac:dyDescent="0.25">
      <c r="G6" s="306" t="s">
        <v>545</v>
      </c>
      <c r="H6" s="306"/>
      <c r="I6" s="306"/>
    </row>
    <row r="7" spans="1:11" ht="15.75" x14ac:dyDescent="0.25">
      <c r="G7" s="306" t="s">
        <v>531</v>
      </c>
      <c r="H7" s="306"/>
      <c r="I7" s="306"/>
    </row>
    <row r="8" spans="1:11" ht="15.75" x14ac:dyDescent="0.25">
      <c r="G8" s="306" t="s">
        <v>532</v>
      </c>
      <c r="H8" s="306"/>
      <c r="I8" s="306"/>
    </row>
    <row r="9" spans="1:11" s="2" customFormat="1" ht="15" x14ac:dyDescent="0.25">
      <c r="G9" s="127" t="s">
        <v>540</v>
      </c>
    </row>
    <row r="10" spans="1:11" s="3" customFormat="1" ht="12" x14ac:dyDescent="0.2"/>
    <row r="11" spans="1:11" s="10" customFormat="1" x14ac:dyDescent="0.2">
      <c r="A11" s="483" t="s">
        <v>53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</row>
    <row r="12" spans="1:11" s="10" customFormat="1" x14ac:dyDescent="0.2">
      <c r="B12" s="399" t="s">
        <v>109</v>
      </c>
      <c r="C12" s="399"/>
      <c r="D12" s="399"/>
      <c r="E12" s="399"/>
      <c r="F12" s="399"/>
      <c r="G12" s="399"/>
      <c r="H12" s="399"/>
      <c r="I12" s="399"/>
      <c r="J12" s="399"/>
    </row>
    <row r="13" spans="1:11" s="10" customFormat="1" x14ac:dyDescent="0.2">
      <c r="A13" s="398" t="s">
        <v>147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</row>
    <row r="14" spans="1:11" s="3" customFormat="1" ht="12" hidden="1" x14ac:dyDescent="0.2"/>
    <row r="15" spans="1:11" s="11" customFormat="1" ht="10.5" customHeight="1" x14ac:dyDescent="0.15">
      <c r="A15" s="484" t="s">
        <v>0</v>
      </c>
      <c r="B15" s="485" t="s">
        <v>54</v>
      </c>
      <c r="C15" s="485" t="s">
        <v>55</v>
      </c>
      <c r="D15" s="484" t="s">
        <v>145</v>
      </c>
      <c r="E15" s="485" t="s">
        <v>56</v>
      </c>
      <c r="F15" s="485"/>
      <c r="G15" s="485"/>
      <c r="H15" s="485"/>
      <c r="I15" s="485"/>
      <c r="J15" s="485"/>
      <c r="K15" s="485"/>
    </row>
    <row r="16" spans="1:11" s="12" customFormat="1" ht="11.25" customHeight="1" x14ac:dyDescent="0.2">
      <c r="A16" s="484"/>
      <c r="B16" s="485"/>
      <c r="C16" s="485"/>
      <c r="D16" s="484"/>
      <c r="E16" s="484" t="s">
        <v>107</v>
      </c>
      <c r="F16" s="485" t="s">
        <v>57</v>
      </c>
      <c r="G16" s="485"/>
      <c r="H16" s="485"/>
      <c r="I16" s="485"/>
      <c r="J16" s="485"/>
      <c r="K16" s="485"/>
    </row>
    <row r="17" spans="1:11" s="12" customFormat="1" ht="11.25" x14ac:dyDescent="0.2">
      <c r="A17" s="484"/>
      <c r="B17" s="485"/>
      <c r="C17" s="485"/>
      <c r="D17" s="484"/>
      <c r="E17" s="484"/>
      <c r="F17" s="18" t="s">
        <v>106</v>
      </c>
      <c r="G17" s="18" t="s">
        <v>110</v>
      </c>
      <c r="H17" s="18" t="s">
        <v>138</v>
      </c>
      <c r="I17" s="18" t="s">
        <v>142</v>
      </c>
      <c r="J17" s="18" t="s">
        <v>143</v>
      </c>
      <c r="K17" s="18" t="s">
        <v>144</v>
      </c>
    </row>
    <row r="18" spans="1:11" s="12" customFormat="1" ht="11.25" x14ac:dyDescent="0.2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pans="1:11" s="12" customFormat="1" ht="22.5" x14ac:dyDescent="0.2">
      <c r="A19" s="192">
        <v>1</v>
      </c>
      <c r="B19" s="295" t="s">
        <v>268</v>
      </c>
      <c r="C19" s="20" t="s">
        <v>58</v>
      </c>
      <c r="D19" s="21">
        <f>D23/D27</f>
        <v>3603.056144067797</v>
      </c>
      <c r="E19" s="21">
        <f t="shared" ref="E19:K19" si="0">E23/E27</f>
        <v>4766.9491525423737</v>
      </c>
      <c r="F19" s="21">
        <f t="shared" si="0"/>
        <v>4766.9491525423737</v>
      </c>
      <c r="G19" s="21">
        <f t="shared" si="0"/>
        <v>4766.9491525423737</v>
      </c>
      <c r="H19" s="21">
        <f t="shared" si="0"/>
        <v>4766.9491525423737</v>
      </c>
      <c r="I19" s="21">
        <f t="shared" si="0"/>
        <v>4766.9491525423737</v>
      </c>
      <c r="J19" s="21">
        <f t="shared" si="0"/>
        <v>4766.9491525423737</v>
      </c>
      <c r="K19" s="21">
        <f t="shared" si="0"/>
        <v>4766.9491525423737</v>
      </c>
    </row>
    <row r="20" spans="1:11" s="12" customFormat="1" ht="22.5" x14ac:dyDescent="0.2">
      <c r="A20" s="192">
        <f>A19+1</f>
        <v>2</v>
      </c>
      <c r="B20" s="295" t="s">
        <v>269</v>
      </c>
      <c r="C20" s="20" t="s">
        <v>58</v>
      </c>
      <c r="D20" s="21">
        <f t="shared" ref="D20:K22" si="1">D24/D28</f>
        <v>4126.0514018691583</v>
      </c>
      <c r="E20" s="21">
        <f t="shared" si="1"/>
        <v>4567.7570093457944</v>
      </c>
      <c r="F20" s="21">
        <f t="shared" si="1"/>
        <v>4567.7570093457944</v>
      </c>
      <c r="G20" s="21">
        <f t="shared" si="1"/>
        <v>4567.7570093457944</v>
      </c>
      <c r="H20" s="21">
        <f t="shared" si="1"/>
        <v>4567.7570093457944</v>
      </c>
      <c r="I20" s="21">
        <f t="shared" si="1"/>
        <v>4567.7570093457944</v>
      </c>
      <c r="J20" s="21">
        <f t="shared" si="1"/>
        <v>4567.7570093457944</v>
      </c>
      <c r="K20" s="21">
        <f t="shared" si="1"/>
        <v>4567.7570093457944</v>
      </c>
    </row>
    <row r="21" spans="1:11" s="12" customFormat="1" ht="22.5" x14ac:dyDescent="0.2">
      <c r="A21" s="192">
        <f t="shared" ref="A21:A77" si="2">A20+1</f>
        <v>3</v>
      </c>
      <c r="B21" s="295" t="s">
        <v>547</v>
      </c>
      <c r="C21" s="20" t="s">
        <v>58</v>
      </c>
      <c r="D21" s="21">
        <f t="shared" si="1"/>
        <v>1948.2658959537571</v>
      </c>
      <c r="E21" s="21">
        <f t="shared" si="1"/>
        <v>2225.4335260115604</v>
      </c>
      <c r="F21" s="21">
        <f t="shared" si="1"/>
        <v>2225.4335260115604</v>
      </c>
      <c r="G21" s="486" t="s">
        <v>548</v>
      </c>
      <c r="H21" s="487"/>
      <c r="I21" s="487"/>
      <c r="J21" s="487"/>
      <c r="K21" s="488"/>
    </row>
    <row r="22" spans="1:11" s="12" customFormat="1" ht="22.5" x14ac:dyDescent="0.2">
      <c r="A22" s="192">
        <f t="shared" si="2"/>
        <v>4</v>
      </c>
      <c r="B22" s="295" t="s">
        <v>270</v>
      </c>
      <c r="C22" s="20" t="s">
        <v>58</v>
      </c>
      <c r="D22" s="21">
        <f>D26/D30</f>
        <v>3030.4285714285716</v>
      </c>
      <c r="E22" s="21">
        <f t="shared" si="1"/>
        <v>3357.1428571428573</v>
      </c>
      <c r="F22" s="21">
        <f t="shared" si="1"/>
        <v>3357.1428571428573</v>
      </c>
      <c r="G22" s="21">
        <f t="shared" si="1"/>
        <v>3357.1428571428573</v>
      </c>
      <c r="H22" s="21">
        <f t="shared" si="1"/>
        <v>3357.1428571428573</v>
      </c>
      <c r="I22" s="21">
        <f t="shared" si="1"/>
        <v>3357.1428571428573</v>
      </c>
      <c r="J22" s="21">
        <f t="shared" si="1"/>
        <v>3357.1428571428573</v>
      </c>
      <c r="K22" s="21">
        <f t="shared" si="1"/>
        <v>3357.1428571428573</v>
      </c>
    </row>
    <row r="23" spans="1:11" s="12" customFormat="1" ht="22.5" x14ac:dyDescent="0.2">
      <c r="A23" s="192">
        <f t="shared" si="2"/>
        <v>5</v>
      </c>
      <c r="B23" s="295" t="s">
        <v>271</v>
      </c>
      <c r="C23" s="20" t="s">
        <v>86</v>
      </c>
      <c r="D23" s="78">
        <v>680257</v>
      </c>
      <c r="E23" s="78">
        <v>900000</v>
      </c>
      <c r="F23" s="78">
        <v>900000</v>
      </c>
      <c r="G23" s="78">
        <v>900000</v>
      </c>
      <c r="H23" s="78">
        <v>900000</v>
      </c>
      <c r="I23" s="78">
        <v>900000</v>
      </c>
      <c r="J23" s="78">
        <v>900000</v>
      </c>
      <c r="K23" s="78">
        <v>900000</v>
      </c>
    </row>
    <row r="24" spans="1:11" s="12" customFormat="1" ht="22.5" x14ac:dyDescent="0.2">
      <c r="A24" s="192">
        <f t="shared" si="2"/>
        <v>6</v>
      </c>
      <c r="B24" s="295" t="s">
        <v>272</v>
      </c>
      <c r="C24" s="20" t="s">
        <v>86</v>
      </c>
      <c r="D24" s="78">
        <v>353190</v>
      </c>
      <c r="E24" s="78">
        <v>391000</v>
      </c>
      <c r="F24" s="78">
        <v>391000</v>
      </c>
      <c r="G24" s="78">
        <v>391000</v>
      </c>
      <c r="H24" s="78">
        <v>391000</v>
      </c>
      <c r="I24" s="78">
        <v>391000</v>
      </c>
      <c r="J24" s="78">
        <v>391000</v>
      </c>
      <c r="K24" s="78">
        <v>391000</v>
      </c>
    </row>
    <row r="25" spans="1:11" s="12" customFormat="1" ht="22.5" x14ac:dyDescent="0.2">
      <c r="A25" s="192">
        <f t="shared" si="2"/>
        <v>7</v>
      </c>
      <c r="B25" s="295" t="s">
        <v>549</v>
      </c>
      <c r="C25" s="20" t="s">
        <v>86</v>
      </c>
      <c r="D25" s="78">
        <v>134820</v>
      </c>
      <c r="E25" s="78">
        <v>154000</v>
      </c>
      <c r="F25" s="78">
        <v>154000</v>
      </c>
      <c r="G25" s="486" t="s">
        <v>548</v>
      </c>
      <c r="H25" s="487"/>
      <c r="I25" s="487"/>
      <c r="J25" s="487"/>
      <c r="K25" s="488"/>
    </row>
    <row r="26" spans="1:11" s="12" customFormat="1" ht="22.5" x14ac:dyDescent="0.2">
      <c r="A26" s="192">
        <f t="shared" si="2"/>
        <v>8</v>
      </c>
      <c r="B26" s="295" t="s">
        <v>273</v>
      </c>
      <c r="C26" s="20" t="s">
        <v>86</v>
      </c>
      <c r="D26" s="78">
        <v>254556</v>
      </c>
      <c r="E26" s="78">
        <v>282000</v>
      </c>
      <c r="F26" s="78">
        <v>282000</v>
      </c>
      <c r="G26" s="78">
        <v>282000</v>
      </c>
      <c r="H26" s="78">
        <v>282000</v>
      </c>
      <c r="I26" s="78">
        <v>282000</v>
      </c>
      <c r="J26" s="78">
        <v>282000</v>
      </c>
      <c r="K26" s="78">
        <v>282000</v>
      </c>
    </row>
    <row r="27" spans="1:11" s="12" customFormat="1" ht="11.25" x14ac:dyDescent="0.2">
      <c r="A27" s="192">
        <f t="shared" si="2"/>
        <v>9</v>
      </c>
      <c r="B27" s="295" t="s">
        <v>274</v>
      </c>
      <c r="C27" s="20" t="s">
        <v>87</v>
      </c>
      <c r="D27" s="79">
        <f>40*(4.14+0.58)</f>
        <v>188.79999999999998</v>
      </c>
      <c r="E27" s="79">
        <f t="shared" ref="E27:K27" si="3">40*(4.14+0.58)</f>
        <v>188.79999999999998</v>
      </c>
      <c r="F27" s="79">
        <f t="shared" si="3"/>
        <v>188.79999999999998</v>
      </c>
      <c r="G27" s="79">
        <f t="shared" si="3"/>
        <v>188.79999999999998</v>
      </c>
      <c r="H27" s="79">
        <f t="shared" si="3"/>
        <v>188.79999999999998</v>
      </c>
      <c r="I27" s="79">
        <f t="shared" si="3"/>
        <v>188.79999999999998</v>
      </c>
      <c r="J27" s="79">
        <f t="shared" si="3"/>
        <v>188.79999999999998</v>
      </c>
      <c r="K27" s="79">
        <f t="shared" si="3"/>
        <v>188.79999999999998</v>
      </c>
    </row>
    <row r="28" spans="1:11" s="12" customFormat="1" ht="11.25" customHeight="1" x14ac:dyDescent="0.2">
      <c r="A28" s="192">
        <f t="shared" si="2"/>
        <v>10</v>
      </c>
      <c r="B28" s="295" t="s">
        <v>275</v>
      </c>
      <c r="C28" s="20" t="s">
        <v>87</v>
      </c>
      <c r="D28" s="79">
        <f>40*2.14</f>
        <v>85.600000000000009</v>
      </c>
      <c r="E28" s="79">
        <f t="shared" ref="E28:K28" si="4">40*2.14</f>
        <v>85.600000000000009</v>
      </c>
      <c r="F28" s="79">
        <f t="shared" si="4"/>
        <v>85.600000000000009</v>
      </c>
      <c r="G28" s="79">
        <f t="shared" si="4"/>
        <v>85.600000000000009</v>
      </c>
      <c r="H28" s="79">
        <f t="shared" si="4"/>
        <v>85.600000000000009</v>
      </c>
      <c r="I28" s="79">
        <f t="shared" si="4"/>
        <v>85.600000000000009</v>
      </c>
      <c r="J28" s="79">
        <f t="shared" si="4"/>
        <v>85.600000000000009</v>
      </c>
      <c r="K28" s="79">
        <f t="shared" si="4"/>
        <v>85.600000000000009</v>
      </c>
    </row>
    <row r="29" spans="1:11" s="12" customFormat="1" ht="11.25" x14ac:dyDescent="0.2">
      <c r="A29" s="192">
        <f t="shared" si="2"/>
        <v>11</v>
      </c>
      <c r="B29" s="295" t="s">
        <v>550</v>
      </c>
      <c r="C29" s="20" t="s">
        <v>87</v>
      </c>
      <c r="D29" s="79">
        <f>1.73*40</f>
        <v>69.2</v>
      </c>
      <c r="E29" s="79">
        <f t="shared" ref="E29:F29" si="5">1.73*40</f>
        <v>69.2</v>
      </c>
      <c r="F29" s="79">
        <f t="shared" si="5"/>
        <v>69.2</v>
      </c>
      <c r="G29" s="486" t="s">
        <v>548</v>
      </c>
      <c r="H29" s="487"/>
      <c r="I29" s="487"/>
      <c r="J29" s="487"/>
      <c r="K29" s="488"/>
    </row>
    <row r="30" spans="1:11" s="12" customFormat="1" ht="11.25" customHeight="1" x14ac:dyDescent="0.2">
      <c r="A30" s="192">
        <f t="shared" si="2"/>
        <v>12</v>
      </c>
      <c r="B30" s="295" t="s">
        <v>276</v>
      </c>
      <c r="C30" s="20" t="s">
        <v>87</v>
      </c>
      <c r="D30" s="79">
        <f>40*2.1</f>
        <v>84</v>
      </c>
      <c r="E30" s="79">
        <f t="shared" ref="E30:K30" si="6">40*2.1</f>
        <v>84</v>
      </c>
      <c r="F30" s="79">
        <f t="shared" si="6"/>
        <v>84</v>
      </c>
      <c r="G30" s="79">
        <f t="shared" si="6"/>
        <v>84</v>
      </c>
      <c r="H30" s="79">
        <f t="shared" si="6"/>
        <v>84</v>
      </c>
      <c r="I30" s="79">
        <f t="shared" si="6"/>
        <v>84</v>
      </c>
      <c r="J30" s="79">
        <f t="shared" si="6"/>
        <v>84</v>
      </c>
      <c r="K30" s="79">
        <f t="shared" si="6"/>
        <v>84</v>
      </c>
    </row>
    <row r="31" spans="1:11" s="12" customFormat="1" ht="11.25" x14ac:dyDescent="0.2">
      <c r="A31" s="192">
        <f t="shared" si="2"/>
        <v>13</v>
      </c>
      <c r="B31" s="482" t="s">
        <v>277</v>
      </c>
      <c r="C31" s="20" t="s">
        <v>60</v>
      </c>
      <c r="D31" s="177">
        <f>D39/D43</f>
        <v>0.24118415510499047</v>
      </c>
      <c r="E31" s="177">
        <f t="shared" ref="E31:K31" si="7">E39/E43</f>
        <v>0.26172005870373177</v>
      </c>
      <c r="F31" s="177">
        <f t="shared" si="7"/>
        <v>0.26172005870373177</v>
      </c>
      <c r="G31" s="177">
        <f t="shared" si="7"/>
        <v>0.26172005870373177</v>
      </c>
      <c r="H31" s="177">
        <f t="shared" si="7"/>
        <v>0.26172005870373177</v>
      </c>
      <c r="I31" s="177">
        <f t="shared" si="7"/>
        <v>0.26172005870373177</v>
      </c>
      <c r="J31" s="177">
        <f t="shared" si="7"/>
        <v>0.26172005870373177</v>
      </c>
      <c r="K31" s="177">
        <f t="shared" si="7"/>
        <v>0.26172005870373177</v>
      </c>
    </row>
    <row r="32" spans="1:11" s="12" customFormat="1" ht="11.25" customHeight="1" x14ac:dyDescent="0.2">
      <c r="A32" s="192">
        <f t="shared" si="2"/>
        <v>14</v>
      </c>
      <c r="B32" s="482"/>
      <c r="C32" s="20" t="s">
        <v>61</v>
      </c>
      <c r="D32" s="21">
        <f>D39/D27</f>
        <v>23.899152542372882</v>
      </c>
      <c r="E32" s="21">
        <f t="shared" ref="E32:K32" si="8">E39/E27</f>
        <v>30.990995762711869</v>
      </c>
      <c r="F32" s="21">
        <f t="shared" si="8"/>
        <v>30.990995762711869</v>
      </c>
      <c r="G32" s="21">
        <f t="shared" si="8"/>
        <v>30.990995762711869</v>
      </c>
      <c r="H32" s="21">
        <f t="shared" si="8"/>
        <v>30.990995762711869</v>
      </c>
      <c r="I32" s="21">
        <f t="shared" si="8"/>
        <v>30.990995762711869</v>
      </c>
      <c r="J32" s="21">
        <f t="shared" si="8"/>
        <v>30.990995762711869</v>
      </c>
      <c r="K32" s="21">
        <f t="shared" si="8"/>
        <v>30.990995762711869</v>
      </c>
    </row>
    <row r="33" spans="1:11" s="12" customFormat="1" ht="11.25" x14ac:dyDescent="0.2">
      <c r="A33" s="192">
        <f t="shared" si="2"/>
        <v>15</v>
      </c>
      <c r="B33" s="482" t="s">
        <v>278</v>
      </c>
      <c r="C33" s="20" t="s">
        <v>60</v>
      </c>
      <c r="D33" s="177">
        <f>D40/D44</f>
        <v>0.21284023545765587</v>
      </c>
      <c r="E33" s="177">
        <f t="shared" ref="E33:K33" si="9">E40/E44</f>
        <v>0.22132306406416075</v>
      </c>
      <c r="F33" s="177">
        <f t="shared" si="9"/>
        <v>0.22132306406416075</v>
      </c>
      <c r="G33" s="177">
        <f t="shared" si="9"/>
        <v>0.22132306406416075</v>
      </c>
      <c r="H33" s="177">
        <f t="shared" si="9"/>
        <v>0.22132306406416075</v>
      </c>
      <c r="I33" s="177">
        <f t="shared" si="9"/>
        <v>0.22132306406416075</v>
      </c>
      <c r="J33" s="177">
        <f t="shared" si="9"/>
        <v>0.22132306406416075</v>
      </c>
      <c r="K33" s="177">
        <f t="shared" si="9"/>
        <v>0.22132306406416075</v>
      </c>
    </row>
    <row r="34" spans="1:11" s="12" customFormat="1" ht="11.25" x14ac:dyDescent="0.2">
      <c r="A34" s="192">
        <f t="shared" si="2"/>
        <v>16</v>
      </c>
      <c r="B34" s="482"/>
      <c r="C34" s="20" t="s">
        <v>61</v>
      </c>
      <c r="D34" s="21">
        <f>D40/D28</f>
        <v>20.355607476635512</v>
      </c>
      <c r="E34" s="21">
        <f t="shared" ref="E34:K34" si="10">E40/E28</f>
        <v>21.406284018691583</v>
      </c>
      <c r="F34" s="21">
        <f t="shared" si="10"/>
        <v>21.406284018691583</v>
      </c>
      <c r="G34" s="21">
        <f t="shared" si="10"/>
        <v>21.406284018691583</v>
      </c>
      <c r="H34" s="21">
        <f t="shared" si="10"/>
        <v>21.406284018691583</v>
      </c>
      <c r="I34" s="21">
        <f t="shared" si="10"/>
        <v>21.406284018691583</v>
      </c>
      <c r="J34" s="21">
        <f t="shared" si="10"/>
        <v>21.406284018691583</v>
      </c>
      <c r="K34" s="21">
        <f t="shared" si="10"/>
        <v>21.406284018691583</v>
      </c>
    </row>
    <row r="35" spans="1:11" s="12" customFormat="1" ht="11.25" x14ac:dyDescent="0.2">
      <c r="A35" s="192">
        <f t="shared" si="2"/>
        <v>17</v>
      </c>
      <c r="B35" s="482" t="s">
        <v>551</v>
      </c>
      <c r="C35" s="20" t="s">
        <v>60</v>
      </c>
      <c r="D35" s="177">
        <f>D41/D45</f>
        <v>0.23422026511807595</v>
      </c>
      <c r="E35" s="177">
        <f t="shared" ref="E35:F35" si="11">E41/E45</f>
        <v>0.24405876851394553</v>
      </c>
      <c r="F35" s="177">
        <f t="shared" si="11"/>
        <v>0.24405876851394553</v>
      </c>
      <c r="G35" s="177"/>
      <c r="H35" s="177"/>
      <c r="I35" s="177"/>
      <c r="J35" s="177"/>
      <c r="K35" s="177"/>
    </row>
    <row r="36" spans="1:11" s="12" customFormat="1" ht="11.25" x14ac:dyDescent="0.2">
      <c r="A36" s="192">
        <f t="shared" si="2"/>
        <v>18</v>
      </c>
      <c r="B36" s="482"/>
      <c r="C36" s="20" t="s">
        <v>61</v>
      </c>
      <c r="D36" s="21">
        <f>D41/D29</f>
        <v>19.361994219653177</v>
      </c>
      <c r="E36" s="21">
        <f t="shared" ref="E36:F36" si="12">E41/E29</f>
        <v>20.066533108381503</v>
      </c>
      <c r="F36" s="21">
        <f t="shared" si="12"/>
        <v>20.066533108381503</v>
      </c>
      <c r="G36" s="486" t="s">
        <v>548</v>
      </c>
      <c r="H36" s="487"/>
      <c r="I36" s="487"/>
      <c r="J36" s="487"/>
      <c r="K36" s="488"/>
    </row>
    <row r="37" spans="1:11" s="12" customFormat="1" ht="11.25" x14ac:dyDescent="0.2">
      <c r="A37" s="192">
        <f t="shared" si="2"/>
        <v>19</v>
      </c>
      <c r="B37" s="482" t="s">
        <v>279</v>
      </c>
      <c r="C37" s="20" t="s">
        <v>60</v>
      </c>
      <c r="D37" s="177">
        <f>D42/D46</f>
        <v>0.2537354544400201</v>
      </c>
      <c r="E37" s="177">
        <f t="shared" ref="E37:K37" si="13">E42/E46</f>
        <v>0.24679326426082443</v>
      </c>
      <c r="F37" s="177">
        <f t="shared" si="13"/>
        <v>0.24679326426082443</v>
      </c>
      <c r="G37" s="177">
        <f t="shared" si="13"/>
        <v>0.24679326426082443</v>
      </c>
      <c r="H37" s="177">
        <f t="shared" si="13"/>
        <v>0.24679326426082443</v>
      </c>
      <c r="I37" s="177">
        <f t="shared" si="13"/>
        <v>0.24679326426082443</v>
      </c>
      <c r="J37" s="177">
        <f t="shared" si="13"/>
        <v>0.24679326426082443</v>
      </c>
      <c r="K37" s="177">
        <f t="shared" si="13"/>
        <v>0.24679326426082443</v>
      </c>
    </row>
    <row r="38" spans="1:11" s="12" customFormat="1" ht="11.25" x14ac:dyDescent="0.2">
      <c r="A38" s="192">
        <f t="shared" si="2"/>
        <v>20</v>
      </c>
      <c r="B38" s="482"/>
      <c r="C38" s="20" t="s">
        <v>61</v>
      </c>
      <c r="D38" s="21">
        <f>D42/D30</f>
        <v>25.003333333333337</v>
      </c>
      <c r="E38" s="21">
        <f t="shared" ref="E38:K38" si="14">E42/E30</f>
        <v>25.771997005952386</v>
      </c>
      <c r="F38" s="21">
        <f t="shared" si="14"/>
        <v>25.771997005952386</v>
      </c>
      <c r="G38" s="21">
        <f t="shared" si="14"/>
        <v>25.771997005952386</v>
      </c>
      <c r="H38" s="21">
        <f t="shared" si="14"/>
        <v>25.771997005952386</v>
      </c>
      <c r="I38" s="21">
        <f t="shared" si="14"/>
        <v>25.771997005952386</v>
      </c>
      <c r="J38" s="21">
        <f t="shared" si="14"/>
        <v>25.771997005952386</v>
      </c>
      <c r="K38" s="21">
        <f t="shared" si="14"/>
        <v>25.771997005952386</v>
      </c>
    </row>
    <row r="39" spans="1:11" s="12" customFormat="1" ht="11.25" x14ac:dyDescent="0.2">
      <c r="A39" s="192">
        <f t="shared" si="2"/>
        <v>21</v>
      </c>
      <c r="B39" s="295" t="s">
        <v>280</v>
      </c>
      <c r="C39" s="20" t="s">
        <v>88</v>
      </c>
      <c r="D39" s="120">
        <v>4512.16</v>
      </c>
      <c r="E39" s="120">
        <v>5851.1</v>
      </c>
      <c r="F39" s="120">
        <v>5851.1</v>
      </c>
      <c r="G39" s="120">
        <v>5851.1</v>
      </c>
      <c r="H39" s="120">
        <v>5851.1</v>
      </c>
      <c r="I39" s="120">
        <v>5851.1</v>
      </c>
      <c r="J39" s="120">
        <v>5851.1</v>
      </c>
      <c r="K39" s="120">
        <v>5851.1</v>
      </c>
    </row>
    <row r="40" spans="1:11" s="12" customFormat="1" ht="11.25" x14ac:dyDescent="0.2">
      <c r="A40" s="192">
        <f t="shared" si="2"/>
        <v>22</v>
      </c>
      <c r="B40" s="295" t="s">
        <v>281</v>
      </c>
      <c r="C40" s="20" t="s">
        <v>88</v>
      </c>
      <c r="D40" s="120">
        <v>1742.44</v>
      </c>
      <c r="E40" s="120">
        <v>1832.3779119999997</v>
      </c>
      <c r="F40" s="120">
        <v>1832.3779119999997</v>
      </c>
      <c r="G40" s="120">
        <v>1832.3779119999997</v>
      </c>
      <c r="H40" s="120">
        <v>1832.3779119999997</v>
      </c>
      <c r="I40" s="120">
        <v>1832.3779119999997</v>
      </c>
      <c r="J40" s="120">
        <v>1832.3779119999997</v>
      </c>
      <c r="K40" s="120">
        <v>1832.3779119999997</v>
      </c>
    </row>
    <row r="41" spans="1:11" s="12" customFormat="1" ht="11.25" x14ac:dyDescent="0.2">
      <c r="A41" s="192">
        <f t="shared" si="2"/>
        <v>23</v>
      </c>
      <c r="B41" s="295" t="s">
        <v>552</v>
      </c>
      <c r="C41" s="20" t="s">
        <v>88</v>
      </c>
      <c r="D41" s="120">
        <v>1339.85</v>
      </c>
      <c r="E41" s="120">
        <v>1388.6040911</v>
      </c>
      <c r="F41" s="120">
        <v>1388.6040911</v>
      </c>
      <c r="G41" s="120"/>
      <c r="H41" s="120"/>
      <c r="I41" s="120"/>
      <c r="J41" s="120"/>
      <c r="K41" s="120"/>
    </row>
    <row r="42" spans="1:11" s="12" customFormat="1" ht="11.25" x14ac:dyDescent="0.2">
      <c r="A42" s="192">
        <f t="shared" si="2"/>
        <v>24</v>
      </c>
      <c r="B42" s="295" t="s">
        <v>282</v>
      </c>
      <c r="C42" s="20" t="s">
        <v>88</v>
      </c>
      <c r="D42" s="120">
        <v>2100.2800000000002</v>
      </c>
      <c r="E42" s="120">
        <v>2164.8477485000003</v>
      </c>
      <c r="F42" s="120">
        <v>2164.8477485000003</v>
      </c>
      <c r="G42" s="120">
        <v>2164.8477485000003</v>
      </c>
      <c r="H42" s="120">
        <v>2164.8477485000003</v>
      </c>
      <c r="I42" s="120">
        <v>2164.8477485000003</v>
      </c>
      <c r="J42" s="120">
        <v>2164.8477485000003</v>
      </c>
      <c r="K42" s="120">
        <v>2164.8477485000003</v>
      </c>
    </row>
    <row r="43" spans="1:11" s="12" customFormat="1" ht="22.5" x14ac:dyDescent="0.2">
      <c r="A43" s="192">
        <f t="shared" si="2"/>
        <v>25</v>
      </c>
      <c r="B43" s="361" t="s">
        <v>576</v>
      </c>
      <c r="C43" s="20" t="s">
        <v>89</v>
      </c>
      <c r="D43" s="120">
        <v>18708.36</v>
      </c>
      <c r="E43" s="79">
        <v>22356.33</v>
      </c>
      <c r="F43" s="79">
        <v>22356.33</v>
      </c>
      <c r="G43" s="79">
        <v>22356.33</v>
      </c>
      <c r="H43" s="79">
        <v>22356.33</v>
      </c>
      <c r="I43" s="79">
        <v>22356.33</v>
      </c>
      <c r="J43" s="79">
        <v>22356.33</v>
      </c>
      <c r="K43" s="79">
        <v>22356.33</v>
      </c>
    </row>
    <row r="44" spans="1:11" s="12" customFormat="1" ht="22.5" x14ac:dyDescent="0.2">
      <c r="A44" s="192">
        <f t="shared" si="2"/>
        <v>26</v>
      </c>
      <c r="B44" s="361" t="s">
        <v>577</v>
      </c>
      <c r="C44" s="20" t="s">
        <v>89</v>
      </c>
      <c r="D44" s="120">
        <v>8186.61</v>
      </c>
      <c r="E44" s="120">
        <v>8279.2000000000007</v>
      </c>
      <c r="F44" s="120">
        <v>8279.2000000000007</v>
      </c>
      <c r="G44" s="120">
        <v>8279.2000000000007</v>
      </c>
      <c r="H44" s="120">
        <v>8279.2000000000007</v>
      </c>
      <c r="I44" s="120">
        <v>8279.2000000000007</v>
      </c>
      <c r="J44" s="120">
        <v>8279.2000000000007</v>
      </c>
      <c r="K44" s="120">
        <v>8279.2000000000007</v>
      </c>
    </row>
    <row r="45" spans="1:11" s="12" customFormat="1" ht="22.5" x14ac:dyDescent="0.2">
      <c r="A45" s="192">
        <f t="shared" si="2"/>
        <v>27</v>
      </c>
      <c r="B45" s="361" t="s">
        <v>578</v>
      </c>
      <c r="C45" s="20" t="s">
        <v>89</v>
      </c>
      <c r="D45" s="120">
        <v>5720.47</v>
      </c>
      <c r="E45" s="120">
        <v>5689.63</v>
      </c>
      <c r="F45" s="120">
        <v>5689.63</v>
      </c>
      <c r="G45" s="486" t="s">
        <v>548</v>
      </c>
      <c r="H45" s="487"/>
      <c r="I45" s="487"/>
      <c r="J45" s="487"/>
      <c r="K45" s="488"/>
    </row>
    <row r="46" spans="1:11" s="12" customFormat="1" ht="22.5" x14ac:dyDescent="0.2">
      <c r="A46" s="192">
        <f t="shared" si="2"/>
        <v>28</v>
      </c>
      <c r="B46" s="361" t="s">
        <v>579</v>
      </c>
      <c r="C46" s="20" t="s">
        <v>89</v>
      </c>
      <c r="D46" s="120">
        <v>8277.44</v>
      </c>
      <c r="E46" s="80">
        <v>8771.9077543869771</v>
      </c>
      <c r="F46" s="80">
        <v>8771.9077543869771</v>
      </c>
      <c r="G46" s="80">
        <v>8771.9077543869771</v>
      </c>
      <c r="H46" s="80">
        <v>8771.9077543869771</v>
      </c>
      <c r="I46" s="80">
        <v>8771.9077543869771</v>
      </c>
      <c r="J46" s="80">
        <v>8771.9077543869771</v>
      </c>
      <c r="K46" s="80">
        <v>8771.9077543869771</v>
      </c>
    </row>
    <row r="47" spans="1:11" s="12" customFormat="1" ht="22.5" x14ac:dyDescent="0.2">
      <c r="A47" s="192">
        <f t="shared" si="2"/>
        <v>29</v>
      </c>
      <c r="B47" s="295" t="s">
        <v>283</v>
      </c>
      <c r="C47" s="20" t="s">
        <v>63</v>
      </c>
      <c r="D47" s="20">
        <v>0</v>
      </c>
      <c r="E47" s="20">
        <v>4.47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</row>
    <row r="48" spans="1:11" s="12" customFormat="1" ht="22.5" x14ac:dyDescent="0.2">
      <c r="A48" s="192">
        <f t="shared" si="2"/>
        <v>30</v>
      </c>
      <c r="B48" s="295" t="s">
        <v>284</v>
      </c>
      <c r="C48" s="20" t="s">
        <v>63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2" s="12" customFormat="1" ht="22.5" x14ac:dyDescent="0.2">
      <c r="A49" s="192">
        <f t="shared" si="2"/>
        <v>31</v>
      </c>
      <c r="B49" s="295" t="s">
        <v>553</v>
      </c>
      <c r="C49" s="20" t="s">
        <v>63</v>
      </c>
      <c r="D49" s="20">
        <v>0</v>
      </c>
      <c r="E49" s="20">
        <v>0</v>
      </c>
      <c r="F49" s="20">
        <v>0</v>
      </c>
      <c r="G49" s="486" t="s">
        <v>548</v>
      </c>
      <c r="H49" s="487"/>
      <c r="I49" s="487"/>
      <c r="J49" s="487"/>
      <c r="K49" s="488"/>
    </row>
    <row r="50" spans="1:12" s="12" customFormat="1" ht="22.5" x14ac:dyDescent="0.2">
      <c r="A50" s="192">
        <f t="shared" si="2"/>
        <v>32</v>
      </c>
      <c r="B50" s="295" t="s">
        <v>285</v>
      </c>
      <c r="C50" s="20" t="s">
        <v>63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  <row r="51" spans="1:12" s="12" customFormat="1" ht="11.25" customHeight="1" x14ac:dyDescent="0.2">
      <c r="A51" s="480">
        <f t="shared" si="2"/>
        <v>33</v>
      </c>
      <c r="B51" s="295" t="s">
        <v>441</v>
      </c>
      <c r="C51" s="489" t="s">
        <v>65</v>
      </c>
      <c r="D51" s="213">
        <v>0.61987199999999998</v>
      </c>
      <c r="E51" s="213">
        <f t="shared" ref="E51:E54" si="15">K51</f>
        <v>0.4531993205013658</v>
      </c>
      <c r="F51" s="213">
        <v>0.11641703935383921</v>
      </c>
      <c r="G51" s="213">
        <v>0.19210030552431734</v>
      </c>
      <c r="H51" s="213">
        <v>0.25242352347463515</v>
      </c>
      <c r="I51" s="213">
        <v>0.32523617496215906</v>
      </c>
      <c r="J51" s="213">
        <v>0.38857260564695612</v>
      </c>
      <c r="K51" s="213">
        <v>0.4531993205013658</v>
      </c>
    </row>
    <row r="52" spans="1:12" s="12" customFormat="1" ht="22.5" x14ac:dyDescent="0.2">
      <c r="A52" s="481"/>
      <c r="B52" s="295" t="s">
        <v>442</v>
      </c>
      <c r="C52" s="490"/>
      <c r="D52" s="213">
        <v>0.61987199999999998</v>
      </c>
      <c r="E52" s="213">
        <f t="shared" si="15"/>
        <v>0.57814389929818466</v>
      </c>
      <c r="F52" s="213">
        <v>0.63755255356294105</v>
      </c>
      <c r="G52" s="213">
        <v>0.7015587242118495</v>
      </c>
      <c r="H52" s="213">
        <v>0.61331832584010892</v>
      </c>
      <c r="I52" s="213">
        <v>0.65566003723073618</v>
      </c>
      <c r="J52" s="213">
        <v>0.60353445744270739</v>
      </c>
      <c r="K52" s="213">
        <v>0.57814389929818466</v>
      </c>
    </row>
    <row r="53" spans="1:12" s="12" customFormat="1" ht="11.25" customHeight="1" x14ac:dyDescent="0.2">
      <c r="A53" s="480">
        <f>A51+1</f>
        <v>34</v>
      </c>
      <c r="B53" s="295" t="s">
        <v>441</v>
      </c>
      <c r="C53" s="489" t="s">
        <v>65</v>
      </c>
      <c r="D53" s="213">
        <v>0.76005823155167263</v>
      </c>
      <c r="E53" s="213">
        <f t="shared" si="15"/>
        <v>0.45673870212358475</v>
      </c>
      <c r="F53" s="213">
        <v>0.65371199999999996</v>
      </c>
      <c r="G53" s="213">
        <v>0.25785599999999997</v>
      </c>
      <c r="H53" s="213">
        <v>0.29958836833453456</v>
      </c>
      <c r="I53" s="213">
        <v>0.3186240783145679</v>
      </c>
      <c r="J53" s="213">
        <v>0.3988812259572096</v>
      </c>
      <c r="K53" s="213">
        <v>0.45673870212358475</v>
      </c>
      <c r="L53" s="12" t="s">
        <v>483</v>
      </c>
    </row>
    <row r="54" spans="1:12" s="12" customFormat="1" ht="22.5" x14ac:dyDescent="0.2">
      <c r="A54" s="481"/>
      <c r="B54" s="295" t="s">
        <v>443</v>
      </c>
      <c r="C54" s="490"/>
      <c r="D54" s="213">
        <v>0.76005823155167263</v>
      </c>
      <c r="E54" s="213">
        <f t="shared" si="15"/>
        <v>0.45673870212358475</v>
      </c>
      <c r="F54" s="213">
        <f>F53</f>
        <v>0.65371199999999996</v>
      </c>
      <c r="G54" s="213">
        <f t="shared" ref="G54:K54" si="16">G53</f>
        <v>0.25785599999999997</v>
      </c>
      <c r="H54" s="213">
        <f t="shared" si="16"/>
        <v>0.29958836833453456</v>
      </c>
      <c r="I54" s="213">
        <f t="shared" si="16"/>
        <v>0.3186240783145679</v>
      </c>
      <c r="J54" s="213">
        <f t="shared" si="16"/>
        <v>0.3988812259572096</v>
      </c>
      <c r="K54" s="213">
        <f t="shared" si="16"/>
        <v>0.45673870212358475</v>
      </c>
    </row>
    <row r="55" spans="1:12" s="12" customFormat="1" ht="11.25" x14ac:dyDescent="0.2">
      <c r="A55" s="480">
        <f>A53+1</f>
        <v>35</v>
      </c>
      <c r="B55" s="295" t="s">
        <v>441</v>
      </c>
      <c r="C55" s="489" t="s">
        <v>65</v>
      </c>
      <c r="D55" s="307">
        <v>0.82140000000000002</v>
      </c>
      <c r="E55" s="307">
        <f>F55</f>
        <v>0.6956</v>
      </c>
      <c r="F55" s="307">
        <v>0.6956</v>
      </c>
      <c r="G55" s="486" t="s">
        <v>548</v>
      </c>
      <c r="H55" s="487"/>
      <c r="I55" s="487"/>
      <c r="J55" s="487"/>
      <c r="K55" s="488"/>
    </row>
    <row r="56" spans="1:12" s="12" customFormat="1" ht="22.5" x14ac:dyDescent="0.2">
      <c r="A56" s="481"/>
      <c r="B56" s="295" t="s">
        <v>554</v>
      </c>
      <c r="C56" s="490"/>
      <c r="D56" s="307">
        <f>D55</f>
        <v>0.82140000000000002</v>
      </c>
      <c r="E56" s="307">
        <f>F56</f>
        <v>0.6956</v>
      </c>
      <c r="F56" s="307">
        <f>F55</f>
        <v>0.6956</v>
      </c>
      <c r="G56" s="486" t="str">
        <f>G55</f>
        <v>не планируется</v>
      </c>
      <c r="H56" s="487"/>
      <c r="I56" s="487"/>
      <c r="J56" s="487"/>
      <c r="K56" s="488"/>
    </row>
    <row r="57" spans="1:12" s="12" customFormat="1" ht="11.25" x14ac:dyDescent="0.2">
      <c r="A57" s="480">
        <f>A55+1</f>
        <v>36</v>
      </c>
      <c r="B57" s="295" t="s">
        <v>441</v>
      </c>
      <c r="C57" s="489" t="s">
        <v>65</v>
      </c>
      <c r="D57" s="213">
        <v>0.59695116627499711</v>
      </c>
      <c r="E57" s="213">
        <f t="shared" ref="E57:E58" si="17">K57</f>
        <v>0.45861517981597194</v>
      </c>
      <c r="F57" s="213">
        <v>0.85212681483049046</v>
      </c>
      <c r="G57" s="213">
        <v>0.89428251079450571</v>
      </c>
      <c r="H57" s="213">
        <v>0.69486394176595712</v>
      </c>
      <c r="I57" s="213">
        <v>0.28780666858044962</v>
      </c>
      <c r="J57" s="213">
        <v>0.28939512292559944</v>
      </c>
      <c r="K57" s="213">
        <v>0.45861517981597194</v>
      </c>
    </row>
    <row r="58" spans="1:12" s="12" customFormat="1" ht="22.5" x14ac:dyDescent="0.2">
      <c r="A58" s="481"/>
      <c r="B58" s="295" t="s">
        <v>444</v>
      </c>
      <c r="C58" s="490"/>
      <c r="D58" s="213">
        <v>0.59695116627499711</v>
      </c>
      <c r="E58" s="213">
        <f t="shared" si="17"/>
        <v>0.45861517981597194</v>
      </c>
      <c r="F58" s="213">
        <f>F57</f>
        <v>0.85212681483049046</v>
      </c>
      <c r="G58" s="213">
        <f t="shared" ref="G58:K58" si="18">G57</f>
        <v>0.89428251079450571</v>
      </c>
      <c r="H58" s="213">
        <f t="shared" si="18"/>
        <v>0.69486394176595712</v>
      </c>
      <c r="I58" s="213">
        <f t="shared" si="18"/>
        <v>0.28780666858044962</v>
      </c>
      <c r="J58" s="213">
        <f t="shared" si="18"/>
        <v>0.28939512292559944</v>
      </c>
      <c r="K58" s="213">
        <f t="shared" si="18"/>
        <v>0.45861517981597194</v>
      </c>
    </row>
    <row r="59" spans="1:12" s="12" customFormat="1" ht="11.25" x14ac:dyDescent="0.2">
      <c r="A59" s="192">
        <f>A57+1</f>
        <v>37</v>
      </c>
      <c r="B59" s="482" t="s">
        <v>286</v>
      </c>
      <c r="C59" s="20" t="s">
        <v>66</v>
      </c>
      <c r="D59" s="20">
        <v>3767.42</v>
      </c>
      <c r="E59" s="135">
        <v>4555.3999999999987</v>
      </c>
      <c r="F59" s="135">
        <v>4555.3999999999987</v>
      </c>
      <c r="G59" s="135">
        <v>4555.3999999999987</v>
      </c>
      <c r="H59" s="135">
        <v>4555.3999999999987</v>
      </c>
      <c r="I59" s="135">
        <v>4555.3999999999987</v>
      </c>
      <c r="J59" s="135">
        <v>4555.3999999999987</v>
      </c>
      <c r="K59" s="135">
        <v>4555.3999999999987</v>
      </c>
    </row>
    <row r="60" spans="1:12" s="12" customFormat="1" ht="45" x14ac:dyDescent="0.2">
      <c r="A60" s="192">
        <f t="shared" si="2"/>
        <v>38</v>
      </c>
      <c r="B60" s="482"/>
      <c r="C60" s="178" t="s">
        <v>67</v>
      </c>
      <c r="D60" s="20">
        <v>21.3</v>
      </c>
      <c r="E60" s="21">
        <v>21.3</v>
      </c>
      <c r="F60" s="21">
        <v>21.3</v>
      </c>
      <c r="G60" s="21">
        <v>21.3</v>
      </c>
      <c r="H60" s="21">
        <v>21.3</v>
      </c>
      <c r="I60" s="21">
        <v>21.3</v>
      </c>
      <c r="J60" s="21">
        <v>21.3</v>
      </c>
      <c r="K60" s="21">
        <v>21.3</v>
      </c>
    </row>
    <row r="61" spans="1:12" s="12" customFormat="1" ht="11.25" x14ac:dyDescent="0.2">
      <c r="A61" s="192">
        <f t="shared" si="2"/>
        <v>39</v>
      </c>
      <c r="B61" s="482" t="s">
        <v>287</v>
      </c>
      <c r="C61" s="20" t="s">
        <v>66</v>
      </c>
      <c r="D61" s="20">
        <v>1325.49</v>
      </c>
      <c r="E61" s="135">
        <v>1325</v>
      </c>
      <c r="F61" s="135">
        <v>1325</v>
      </c>
      <c r="G61" s="135">
        <v>1325</v>
      </c>
      <c r="H61" s="135">
        <v>1325</v>
      </c>
      <c r="I61" s="135">
        <v>1325</v>
      </c>
      <c r="J61" s="135">
        <v>1325</v>
      </c>
      <c r="K61" s="135">
        <v>1325</v>
      </c>
    </row>
    <row r="62" spans="1:12" s="12" customFormat="1" ht="11.25" hidden="1" customHeight="1" x14ac:dyDescent="0.2">
      <c r="A62" s="192">
        <f t="shared" si="2"/>
        <v>40</v>
      </c>
      <c r="B62" s="482"/>
      <c r="C62" s="178" t="s">
        <v>67</v>
      </c>
      <c r="D62" s="21">
        <v>16.864135347149045</v>
      </c>
      <c r="E62" s="21">
        <v>16.753433971292591</v>
      </c>
      <c r="F62" s="21">
        <v>16.753433971292591</v>
      </c>
      <c r="G62" s="21">
        <v>16.753433971292591</v>
      </c>
      <c r="H62" s="21">
        <v>16.753433971292591</v>
      </c>
      <c r="I62" s="21">
        <v>16.753433971292591</v>
      </c>
      <c r="J62" s="21">
        <v>16.753433971292591</v>
      </c>
      <c r="K62" s="21">
        <v>16.753433971292591</v>
      </c>
    </row>
    <row r="63" spans="1:12" s="12" customFormat="1" ht="11.25" hidden="1" customHeight="1" x14ac:dyDescent="0.2">
      <c r="A63" s="480">
        <v>40</v>
      </c>
      <c r="B63" s="482" t="s">
        <v>555</v>
      </c>
      <c r="C63" s="20" t="s">
        <v>66</v>
      </c>
      <c r="D63" s="20">
        <v>1603.83</v>
      </c>
      <c r="E63" s="135">
        <v>1561.0229999999999</v>
      </c>
      <c r="F63" s="135">
        <v>1561.0229999999999</v>
      </c>
      <c r="G63" s="135">
        <v>1561.0229999999999</v>
      </c>
      <c r="H63" s="135">
        <v>1561.0229999999999</v>
      </c>
      <c r="I63" s="135">
        <v>1561.0229999999999</v>
      </c>
      <c r="J63" s="135">
        <v>1561.0229999999999</v>
      </c>
      <c r="K63" s="135">
        <v>1561.0229999999999</v>
      </c>
    </row>
    <row r="64" spans="1:12" s="12" customFormat="1" ht="63" customHeight="1" x14ac:dyDescent="0.2">
      <c r="A64" s="481"/>
      <c r="B64" s="482"/>
      <c r="C64" s="178" t="s">
        <v>67</v>
      </c>
      <c r="D64" s="20">
        <v>30.3</v>
      </c>
      <c r="E64" s="21">
        <v>29.5</v>
      </c>
      <c r="F64" s="21">
        <v>29.5</v>
      </c>
      <c r="G64" s="486" t="s">
        <v>548</v>
      </c>
      <c r="H64" s="487"/>
      <c r="I64" s="487"/>
      <c r="J64" s="487"/>
      <c r="K64" s="488"/>
    </row>
    <row r="65" spans="1:11" s="12" customFormat="1" ht="11.25" x14ac:dyDescent="0.2">
      <c r="A65" s="480">
        <v>41</v>
      </c>
      <c r="B65" s="482" t="s">
        <v>288</v>
      </c>
      <c r="C65" s="20" t="s">
        <v>66</v>
      </c>
      <c r="D65" s="20">
        <v>2040.26</v>
      </c>
      <c r="E65" s="135">
        <v>2153.556</v>
      </c>
      <c r="F65" s="135">
        <v>2153.556</v>
      </c>
      <c r="G65" s="135">
        <v>2153.556</v>
      </c>
      <c r="H65" s="135">
        <v>2153.556</v>
      </c>
      <c r="I65" s="135">
        <v>2153.556</v>
      </c>
      <c r="J65" s="135">
        <v>2153.556</v>
      </c>
      <c r="K65" s="135">
        <v>2153.556</v>
      </c>
    </row>
    <row r="66" spans="1:11" s="3" customFormat="1" ht="45" x14ac:dyDescent="0.2">
      <c r="A66" s="481"/>
      <c r="B66" s="482"/>
      <c r="C66" s="178" t="s">
        <v>67</v>
      </c>
      <c r="D66" s="20">
        <v>24.3</v>
      </c>
      <c r="E66" s="21">
        <v>26.79</v>
      </c>
      <c r="F66" s="21">
        <v>26.79</v>
      </c>
      <c r="G66" s="21">
        <v>26.79</v>
      </c>
      <c r="H66" s="21">
        <v>26.79</v>
      </c>
      <c r="I66" s="21">
        <v>26.79</v>
      </c>
      <c r="J66" s="21">
        <v>26.79</v>
      </c>
      <c r="K66" s="21">
        <v>26.79</v>
      </c>
    </row>
    <row r="67" spans="1:11" s="3" customFormat="1" ht="47.25" customHeight="1" x14ac:dyDescent="0.2">
      <c r="A67" s="480">
        <f>A65+1</f>
        <v>42</v>
      </c>
      <c r="B67" s="482" t="s">
        <v>289</v>
      </c>
      <c r="C67" s="178" t="s">
        <v>556</v>
      </c>
      <c r="D67" s="20">
        <v>2635.3820000000001</v>
      </c>
      <c r="E67" s="20">
        <v>2635.3820000000001</v>
      </c>
      <c r="F67" s="20">
        <v>2635.3820000000001</v>
      </c>
      <c r="G67" s="20">
        <v>2635.3820000000001</v>
      </c>
      <c r="H67" s="20">
        <v>2635.3820000000001</v>
      </c>
      <c r="I67" s="20">
        <v>2635.3820000000001</v>
      </c>
      <c r="J67" s="20">
        <v>2635.3820000000001</v>
      </c>
      <c r="K67" s="20">
        <v>2635.3820000000001</v>
      </c>
    </row>
    <row r="68" spans="1:11" s="49" customFormat="1" ht="22.5" x14ac:dyDescent="0.2">
      <c r="A68" s="481"/>
      <c r="B68" s="482"/>
      <c r="C68" s="178" t="s">
        <v>557</v>
      </c>
      <c r="D68" s="20"/>
      <c r="E68" s="20"/>
      <c r="F68" s="20"/>
      <c r="G68" s="20"/>
      <c r="H68" s="20"/>
      <c r="I68" s="20"/>
      <c r="J68" s="20"/>
      <c r="K68" s="20"/>
    </row>
    <row r="69" spans="1:11" s="49" customFormat="1" ht="22.5" x14ac:dyDescent="0.2">
      <c r="A69" s="480">
        <v>43</v>
      </c>
      <c r="B69" s="482" t="s">
        <v>290</v>
      </c>
      <c r="C69" s="178" t="s">
        <v>556</v>
      </c>
      <c r="D69" s="20">
        <v>1086.47</v>
      </c>
      <c r="E69" s="20">
        <v>1086.47</v>
      </c>
      <c r="F69" s="20">
        <v>1086.47</v>
      </c>
      <c r="G69" s="20">
        <v>1086.47</v>
      </c>
      <c r="H69" s="20">
        <v>1086.47</v>
      </c>
      <c r="I69" s="20">
        <v>1086.47</v>
      </c>
      <c r="J69" s="20">
        <v>1086.47</v>
      </c>
      <c r="K69" s="20">
        <v>1086.47</v>
      </c>
    </row>
    <row r="70" spans="1:11" s="49" customFormat="1" ht="22.5" x14ac:dyDescent="0.2">
      <c r="A70" s="481"/>
      <c r="B70" s="482"/>
      <c r="C70" s="178" t="s">
        <v>557</v>
      </c>
      <c r="D70" s="20"/>
      <c r="E70" s="20"/>
      <c r="F70" s="20"/>
      <c r="G70" s="20"/>
      <c r="H70" s="20"/>
      <c r="I70" s="20"/>
      <c r="J70" s="20"/>
      <c r="K70" s="20"/>
    </row>
    <row r="71" spans="1:11" s="49" customFormat="1" ht="22.5" x14ac:dyDescent="0.2">
      <c r="A71" s="480">
        <v>44</v>
      </c>
      <c r="B71" s="482" t="s">
        <v>558</v>
      </c>
      <c r="C71" s="178" t="s">
        <v>556</v>
      </c>
      <c r="D71" s="20">
        <v>1176.566</v>
      </c>
      <c r="E71" s="20">
        <v>1176.566</v>
      </c>
      <c r="F71" s="20">
        <v>1176.566</v>
      </c>
      <c r="G71" s="486" t="s">
        <v>548</v>
      </c>
      <c r="H71" s="487"/>
      <c r="I71" s="487"/>
      <c r="J71" s="487"/>
      <c r="K71" s="488"/>
    </row>
    <row r="72" spans="1:11" s="49" customFormat="1" ht="22.5" x14ac:dyDescent="0.2">
      <c r="A72" s="481"/>
      <c r="B72" s="482"/>
      <c r="C72" s="178" t="s">
        <v>557</v>
      </c>
      <c r="D72" s="20"/>
      <c r="E72" s="20"/>
      <c r="F72" s="20"/>
      <c r="G72" s="486" t="s">
        <v>548</v>
      </c>
      <c r="H72" s="487"/>
      <c r="I72" s="487"/>
      <c r="J72" s="487"/>
      <c r="K72" s="488"/>
    </row>
    <row r="73" spans="1:11" s="49" customFormat="1" ht="22.5" x14ac:dyDescent="0.2">
      <c r="A73" s="480">
        <v>45</v>
      </c>
      <c r="B73" s="482" t="s">
        <v>291</v>
      </c>
      <c r="C73" s="178" t="s">
        <v>556</v>
      </c>
      <c r="D73" s="20">
        <v>1078.5160000000001</v>
      </c>
      <c r="E73" s="20">
        <v>1078.5160000000001</v>
      </c>
      <c r="F73" s="20">
        <v>1078.5160000000001</v>
      </c>
      <c r="G73" s="20">
        <v>1078.5160000000001</v>
      </c>
      <c r="H73" s="20">
        <v>1078.5160000000001</v>
      </c>
      <c r="I73" s="20">
        <v>1078.5160000000001</v>
      </c>
      <c r="J73" s="20">
        <v>1078.5160000000001</v>
      </c>
      <c r="K73" s="20">
        <v>1078.5160000000001</v>
      </c>
    </row>
    <row r="74" spans="1:11" s="49" customFormat="1" ht="22.5" x14ac:dyDescent="0.2">
      <c r="A74" s="481"/>
      <c r="B74" s="482"/>
      <c r="C74" s="178" t="s">
        <v>557</v>
      </c>
      <c r="D74" s="20"/>
      <c r="E74" s="22"/>
      <c r="F74" s="20"/>
      <c r="G74" s="20"/>
      <c r="H74" s="20"/>
      <c r="I74" s="20"/>
      <c r="J74" s="20"/>
      <c r="K74" s="20"/>
    </row>
    <row r="75" spans="1:11" s="48" customFormat="1" ht="56.25" x14ac:dyDescent="0.2">
      <c r="A75" s="192">
        <v>46</v>
      </c>
      <c r="B75" s="295" t="s">
        <v>292</v>
      </c>
      <c r="C75" s="178" t="s">
        <v>69</v>
      </c>
      <c r="D75" s="491" t="s">
        <v>293</v>
      </c>
      <c r="E75" s="492"/>
      <c r="F75" s="492"/>
      <c r="G75" s="492"/>
      <c r="H75" s="492"/>
      <c r="I75" s="492"/>
      <c r="J75" s="492"/>
      <c r="K75" s="493"/>
    </row>
    <row r="76" spans="1:11" s="49" customFormat="1" ht="12" hidden="1" x14ac:dyDescent="0.2">
      <c r="A76" s="192">
        <f t="shared" si="2"/>
        <v>47</v>
      </c>
      <c r="B76" s="295"/>
      <c r="C76" s="20"/>
      <c r="D76" s="178"/>
      <c r="E76" s="178"/>
      <c r="F76" s="178"/>
      <c r="G76" s="178"/>
      <c r="H76" s="178"/>
      <c r="I76" s="178"/>
      <c r="J76" s="178"/>
      <c r="K76" s="178"/>
    </row>
    <row r="77" spans="1:11" s="50" customFormat="1" hidden="1" x14ac:dyDescent="0.2">
      <c r="A77" s="192">
        <f t="shared" si="2"/>
        <v>48</v>
      </c>
      <c r="B77" s="295"/>
      <c r="C77" s="20"/>
      <c r="D77" s="178"/>
      <c r="E77" s="178"/>
      <c r="F77" s="178"/>
      <c r="G77" s="178"/>
      <c r="H77" s="178"/>
      <c r="I77" s="178"/>
      <c r="J77" s="178"/>
      <c r="K77" s="178"/>
    </row>
    <row r="78" spans="1:11" ht="56.25" x14ac:dyDescent="0.2">
      <c r="A78" s="192">
        <v>47</v>
      </c>
      <c r="B78" s="295" t="s">
        <v>294</v>
      </c>
      <c r="C78" s="178" t="s">
        <v>69</v>
      </c>
      <c r="D78" s="491" t="s">
        <v>293</v>
      </c>
      <c r="E78" s="492"/>
      <c r="F78" s="492"/>
      <c r="G78" s="492"/>
      <c r="H78" s="492"/>
      <c r="I78" s="492"/>
      <c r="J78" s="492"/>
      <c r="K78" s="493"/>
    </row>
    <row r="79" spans="1:11" ht="56.25" x14ac:dyDescent="0.2">
      <c r="A79" s="192">
        <v>48</v>
      </c>
      <c r="B79" s="295" t="s">
        <v>559</v>
      </c>
      <c r="C79" s="178" t="s">
        <v>69</v>
      </c>
      <c r="D79" s="491" t="s">
        <v>293</v>
      </c>
      <c r="E79" s="492"/>
      <c r="F79" s="492"/>
      <c r="G79" s="492"/>
      <c r="H79" s="492"/>
      <c r="I79" s="492"/>
      <c r="J79" s="492"/>
      <c r="K79" s="493"/>
    </row>
    <row r="80" spans="1:11" ht="56.25" x14ac:dyDescent="0.2">
      <c r="A80" s="192">
        <v>50</v>
      </c>
      <c r="B80" s="295" t="s">
        <v>295</v>
      </c>
      <c r="C80" s="178" t="s">
        <v>69</v>
      </c>
      <c r="D80" s="491" t="s">
        <v>293</v>
      </c>
      <c r="E80" s="492"/>
      <c r="F80" s="492"/>
      <c r="G80" s="492"/>
      <c r="H80" s="492"/>
      <c r="I80" s="492"/>
      <c r="J80" s="492"/>
      <c r="K80" s="493"/>
    </row>
  </sheetData>
  <mergeCells count="51">
    <mergeCell ref="D80:K80"/>
    <mergeCell ref="A73:A74"/>
    <mergeCell ref="B73:B74"/>
    <mergeCell ref="D75:K75"/>
    <mergeCell ref="D78:K78"/>
    <mergeCell ref="D79:K79"/>
    <mergeCell ref="A69:A70"/>
    <mergeCell ref="B69:B70"/>
    <mergeCell ref="A71:A72"/>
    <mergeCell ref="B71:B72"/>
    <mergeCell ref="G71:K71"/>
    <mergeCell ref="G72:K72"/>
    <mergeCell ref="G64:K64"/>
    <mergeCell ref="G21:K21"/>
    <mergeCell ref="G25:K25"/>
    <mergeCell ref="G29:K29"/>
    <mergeCell ref="B31:B32"/>
    <mergeCell ref="B33:B34"/>
    <mergeCell ref="G36:K36"/>
    <mergeCell ref="B37:B38"/>
    <mergeCell ref="G45:K45"/>
    <mergeCell ref="G49:K49"/>
    <mergeCell ref="C51:C52"/>
    <mergeCell ref="C53:C54"/>
    <mergeCell ref="C55:C56"/>
    <mergeCell ref="G55:K55"/>
    <mergeCell ref="G56:K56"/>
    <mergeCell ref="C57:C58"/>
    <mergeCell ref="A65:A66"/>
    <mergeCell ref="B65:B66"/>
    <mergeCell ref="A67:A68"/>
    <mergeCell ref="B67:B68"/>
    <mergeCell ref="A55:A56"/>
    <mergeCell ref="A57:A58"/>
    <mergeCell ref="B59:B60"/>
    <mergeCell ref="B61:B62"/>
    <mergeCell ref="A63:A64"/>
    <mergeCell ref="B63:B64"/>
    <mergeCell ref="A53:A54"/>
    <mergeCell ref="B35:B36"/>
    <mergeCell ref="A11:K11"/>
    <mergeCell ref="B12:J12"/>
    <mergeCell ref="A13:K13"/>
    <mergeCell ref="A15:A17"/>
    <mergeCell ref="B15:B17"/>
    <mergeCell ref="C15:C17"/>
    <mergeCell ref="D15:D17"/>
    <mergeCell ref="E15:K15"/>
    <mergeCell ref="E16:E17"/>
    <mergeCell ref="F16:K16"/>
    <mergeCell ref="A51:A52"/>
  </mergeCells>
  <pageMargins left="0.39370078740157483" right="0.39370078740157483" top="0.23" bottom="0.25" header="0.2" footer="0.2"/>
  <pageSetup paperSize="9" fitToHeight="2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58"/>
  <sheetViews>
    <sheetView view="pageBreakPreview" topLeftCell="A7" zoomScale="110" zoomScaleNormal="100" zoomScaleSheetLayoutView="110" workbookViewId="0">
      <selection activeCell="L51" sqref="L51:V51"/>
    </sheetView>
  </sheetViews>
  <sheetFormatPr defaultColWidth="0.85546875" defaultRowHeight="12.75" x14ac:dyDescent="0.2"/>
  <cols>
    <col min="1" max="1" width="3" style="4" customWidth="1"/>
    <col min="2" max="2" width="15.42578125" style="4" customWidth="1"/>
    <col min="3" max="3" width="6.42578125" style="4" customWidth="1"/>
    <col min="4" max="4" width="4.85546875" style="4" customWidth="1"/>
    <col min="5" max="7" width="5.28515625" style="4" customWidth="1"/>
    <col min="8" max="9" width="4.7109375" style="4" customWidth="1"/>
    <col min="10" max="10" width="6.28515625" style="4" customWidth="1"/>
    <col min="11" max="11" width="5.140625" style="4" customWidth="1"/>
    <col min="12" max="14" width="5" style="4" customWidth="1"/>
    <col min="15" max="15" width="4.85546875" style="4" customWidth="1"/>
    <col min="16" max="16" width="5.28515625" style="4" customWidth="1"/>
    <col min="17" max="17" width="6.42578125" style="4" customWidth="1"/>
    <col min="18" max="18" width="5.5703125" style="4" customWidth="1"/>
    <col min="19" max="21" width="5.85546875" style="4" bestFit="1" customWidth="1"/>
    <col min="22" max="22" width="5.5703125" style="4" customWidth="1"/>
    <col min="23" max="23" width="5.42578125" style="4" customWidth="1"/>
    <col min="24" max="24" width="6.42578125" style="4" customWidth="1"/>
    <col min="25" max="25" width="6" style="4" customWidth="1"/>
    <col min="26" max="28" width="5.7109375" style="4" customWidth="1"/>
    <col min="29" max="29" width="6.28515625" style="4" customWidth="1"/>
    <col min="30" max="30" width="6.140625" style="4" customWidth="1"/>
    <col min="31" max="31" width="6.5703125" style="4" customWidth="1"/>
    <col min="32" max="35" width="6" style="4" customWidth="1"/>
    <col min="36" max="36" width="5.7109375" style="4" customWidth="1"/>
    <col min="37" max="37" width="6.28515625" style="4" customWidth="1"/>
    <col min="38" max="38" width="9.5703125" style="4" hidden="1" customWidth="1"/>
    <col min="39" max="44" width="0.85546875" style="4" hidden="1" customWidth="1"/>
    <col min="45" max="55" width="0" style="4" hidden="1" customWidth="1"/>
    <col min="56" max="16384" width="0.85546875" style="4"/>
  </cols>
  <sheetData>
    <row r="1" spans="1:44" ht="15" x14ac:dyDescent="0.25">
      <c r="Q1" s="127" t="s">
        <v>535</v>
      </c>
    </row>
    <row r="2" spans="1:44" ht="15" x14ac:dyDescent="0.25">
      <c r="Q2" s="127" t="s">
        <v>531</v>
      </c>
    </row>
    <row r="3" spans="1:44" ht="15" x14ac:dyDescent="0.25">
      <c r="Q3" s="127" t="s">
        <v>532</v>
      </c>
    </row>
    <row r="4" spans="1:44" x14ac:dyDescent="0.2">
      <c r="Q4" s="44" t="s">
        <v>580</v>
      </c>
    </row>
    <row r="5" spans="1:44" ht="15" x14ac:dyDescent="0.25">
      <c r="Q5" s="127"/>
    </row>
    <row r="6" spans="1:44" ht="15" x14ac:dyDescent="0.25">
      <c r="Q6" s="131" t="s">
        <v>560</v>
      </c>
    </row>
    <row r="7" spans="1:44" ht="15" x14ac:dyDescent="0.25">
      <c r="Q7" s="131" t="s">
        <v>531</v>
      </c>
    </row>
    <row r="8" spans="1:44" s="2" customFormat="1" ht="10.5" customHeight="1" x14ac:dyDescent="0.25">
      <c r="Q8" s="131" t="s">
        <v>532</v>
      </c>
    </row>
    <row r="9" spans="1:44" s="3" customFormat="1" ht="15" x14ac:dyDescent="0.25">
      <c r="Q9" s="127" t="s">
        <v>540</v>
      </c>
    </row>
    <row r="10" spans="1:44" s="3" customFormat="1" ht="12" x14ac:dyDescent="0.2"/>
    <row r="11" spans="1:44" s="2" customFormat="1" ht="17.45" customHeight="1" x14ac:dyDescent="0.2">
      <c r="A11" s="494" t="s">
        <v>70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</row>
    <row r="12" spans="1:44" ht="15" customHeight="1" x14ac:dyDescent="0.2">
      <c r="A12" s="398" t="s">
        <v>139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</row>
    <row r="13" spans="1:44" s="3" customFormat="1" thickBot="1" x14ac:dyDescent="0.25"/>
    <row r="14" spans="1:44" s="5" customFormat="1" ht="13.5" customHeight="1" thickBot="1" x14ac:dyDescent="0.25">
      <c r="A14" s="495" t="s">
        <v>0</v>
      </c>
      <c r="B14" s="497" t="s">
        <v>71</v>
      </c>
      <c r="C14" s="499" t="s">
        <v>72</v>
      </c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1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</row>
    <row r="15" spans="1:44" s="5" customFormat="1" ht="54" customHeight="1" thickBot="1" x14ac:dyDescent="0.25">
      <c r="A15" s="496"/>
      <c r="B15" s="498"/>
      <c r="C15" s="503" t="s">
        <v>74</v>
      </c>
      <c r="D15" s="504"/>
      <c r="E15" s="504"/>
      <c r="F15" s="504"/>
      <c r="G15" s="504"/>
      <c r="H15" s="504"/>
      <c r="I15" s="504"/>
      <c r="J15" s="505" t="s">
        <v>75</v>
      </c>
      <c r="K15" s="506"/>
      <c r="L15" s="506"/>
      <c r="M15" s="506"/>
      <c r="N15" s="506"/>
      <c r="O15" s="506"/>
      <c r="P15" s="507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9" t="s">
        <v>104</v>
      </c>
      <c r="AM15" s="510"/>
      <c r="AN15" s="510"/>
      <c r="AO15" s="510"/>
      <c r="AP15" s="510"/>
      <c r="AQ15" s="510"/>
      <c r="AR15" s="510"/>
    </row>
    <row r="16" spans="1:44" s="6" customFormat="1" ht="13.5" customHeight="1" thickBot="1" x14ac:dyDescent="0.25">
      <c r="A16" s="496"/>
      <c r="B16" s="498"/>
      <c r="C16" s="496" t="s">
        <v>76</v>
      </c>
      <c r="D16" s="497" t="s">
        <v>77</v>
      </c>
      <c r="E16" s="511"/>
      <c r="F16" s="511"/>
      <c r="G16" s="511"/>
      <c r="H16" s="511"/>
      <c r="I16" s="511"/>
      <c r="J16" s="512" t="s">
        <v>76</v>
      </c>
      <c r="K16" s="514" t="s">
        <v>77</v>
      </c>
      <c r="L16" s="515"/>
      <c r="M16" s="515"/>
      <c r="N16" s="515"/>
      <c r="O16" s="515"/>
      <c r="P16" s="516"/>
      <c r="Q16" s="517"/>
      <c r="R16" s="502"/>
      <c r="S16" s="502"/>
      <c r="T16" s="502"/>
      <c r="U16" s="502"/>
      <c r="V16" s="502"/>
      <c r="W16" s="502"/>
      <c r="X16" s="517"/>
      <c r="Y16" s="502"/>
      <c r="Z16" s="502"/>
      <c r="AA16" s="502"/>
      <c r="AB16" s="502"/>
      <c r="AC16" s="502"/>
      <c r="AD16" s="502"/>
      <c r="AE16" s="517"/>
      <c r="AF16" s="502"/>
      <c r="AG16" s="502"/>
      <c r="AH16" s="502"/>
      <c r="AI16" s="502"/>
      <c r="AJ16" s="502"/>
      <c r="AK16" s="502"/>
    </row>
    <row r="17" spans="1:44" s="6" customFormat="1" ht="19.5" customHeight="1" thickBot="1" x14ac:dyDescent="0.25">
      <c r="A17" s="496"/>
      <c r="B17" s="498"/>
      <c r="C17" s="496"/>
      <c r="D17" s="297">
        <v>2018</v>
      </c>
      <c r="E17" s="297">
        <v>2019</v>
      </c>
      <c r="F17" s="297">
        <v>2020</v>
      </c>
      <c r="G17" s="297">
        <v>2021</v>
      </c>
      <c r="H17" s="297">
        <v>2022</v>
      </c>
      <c r="I17" s="298">
        <v>2023</v>
      </c>
      <c r="J17" s="513"/>
      <c r="K17" s="297">
        <v>2018</v>
      </c>
      <c r="L17" s="297">
        <v>2019</v>
      </c>
      <c r="M17" s="297">
        <v>2020</v>
      </c>
      <c r="N17" s="297">
        <v>2021</v>
      </c>
      <c r="O17" s="297">
        <v>2022</v>
      </c>
      <c r="P17" s="299">
        <v>2023</v>
      </c>
      <c r="Q17" s="517"/>
      <c r="R17" s="300"/>
      <c r="S17" s="300"/>
      <c r="T17" s="300"/>
      <c r="U17" s="300"/>
      <c r="V17" s="300"/>
      <c r="W17" s="300"/>
      <c r="X17" s="517"/>
      <c r="Y17" s="300"/>
      <c r="Z17" s="300"/>
      <c r="AA17" s="300"/>
      <c r="AB17" s="300"/>
      <c r="AC17" s="300"/>
      <c r="AD17" s="300"/>
      <c r="AE17" s="517"/>
      <c r="AF17" s="300"/>
      <c r="AG17" s="300"/>
      <c r="AH17" s="300"/>
      <c r="AI17" s="300"/>
      <c r="AJ17" s="300"/>
      <c r="AK17" s="300"/>
    </row>
    <row r="18" spans="1:44" s="7" customFormat="1" ht="11.25" customHeight="1" thickBot="1" x14ac:dyDescent="0.2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47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83">
        <v>16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</row>
    <row r="19" spans="1:44" s="8" customFormat="1" ht="11.25" hidden="1" customHeight="1" x14ac:dyDescent="0.2">
      <c r="A19" s="33" t="s">
        <v>90</v>
      </c>
      <c r="B19" s="34" t="s">
        <v>93</v>
      </c>
      <c r="C19" s="30">
        <v>0</v>
      </c>
      <c r="D19" s="31">
        <v>0</v>
      </c>
      <c r="E19" s="31">
        <v>0</v>
      </c>
      <c r="F19" s="31"/>
      <c r="G19" s="31"/>
      <c r="H19" s="29">
        <v>0</v>
      </c>
      <c r="I19" s="29">
        <v>0</v>
      </c>
      <c r="J19" s="30">
        <v>0</v>
      </c>
      <c r="K19" s="31">
        <v>0</v>
      </c>
      <c r="L19" s="31">
        <v>0</v>
      </c>
      <c r="M19" s="31"/>
      <c r="N19" s="31"/>
      <c r="O19" s="29">
        <v>0</v>
      </c>
      <c r="P19" s="84">
        <v>0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520">
        <v>129.69999999999999</v>
      </c>
      <c r="AM19" s="520"/>
      <c r="AN19" s="520"/>
      <c r="AO19" s="520"/>
      <c r="AP19" s="520"/>
      <c r="AQ19" s="520"/>
      <c r="AR19" s="521"/>
    </row>
    <row r="20" spans="1:44" s="8" customFormat="1" ht="11.25" customHeight="1" x14ac:dyDescent="0.2">
      <c r="A20" s="27" t="s">
        <v>90</v>
      </c>
      <c r="B20" s="26" t="s">
        <v>561</v>
      </c>
      <c r="C20" s="28">
        <v>0</v>
      </c>
      <c r="D20" s="23">
        <v>0</v>
      </c>
      <c r="E20" s="522" t="s">
        <v>548</v>
      </c>
      <c r="F20" s="518"/>
      <c r="G20" s="518"/>
      <c r="H20" s="518"/>
      <c r="I20" s="523"/>
      <c r="J20" s="28">
        <v>0</v>
      </c>
      <c r="K20" s="23">
        <v>0</v>
      </c>
      <c r="L20" s="522" t="s">
        <v>548</v>
      </c>
      <c r="M20" s="518"/>
      <c r="N20" s="518"/>
      <c r="O20" s="518"/>
      <c r="P20" s="523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3"/>
      <c r="AF20" s="143"/>
      <c r="AG20" s="143"/>
      <c r="AH20" s="143"/>
      <c r="AI20" s="143"/>
      <c r="AJ20" s="143"/>
      <c r="AK20" s="143"/>
      <c r="AL20" s="518">
        <v>553.79999999999995</v>
      </c>
      <c r="AM20" s="518"/>
      <c r="AN20" s="518"/>
      <c r="AO20" s="518"/>
      <c r="AP20" s="518"/>
      <c r="AQ20" s="518"/>
      <c r="AR20" s="519"/>
    </row>
    <row r="21" spans="1:44" s="8" customFormat="1" ht="11.25" hidden="1" customHeight="1" x14ac:dyDescent="0.2">
      <c r="A21" s="27" t="s">
        <v>62</v>
      </c>
      <c r="B21" s="26" t="s">
        <v>94</v>
      </c>
      <c r="C21" s="28">
        <v>0</v>
      </c>
      <c r="D21" s="23">
        <v>0</v>
      </c>
      <c r="E21" s="23">
        <v>0</v>
      </c>
      <c r="F21" s="23"/>
      <c r="G21" s="23"/>
      <c r="H21" s="24">
        <v>0</v>
      </c>
      <c r="I21" s="24">
        <v>0</v>
      </c>
      <c r="J21" s="28">
        <v>0</v>
      </c>
      <c r="K21" s="23">
        <v>0</v>
      </c>
      <c r="L21" s="23">
        <v>0</v>
      </c>
      <c r="M21" s="23"/>
      <c r="N21" s="23"/>
      <c r="O21" s="24">
        <v>0</v>
      </c>
      <c r="P21" s="85">
        <v>0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518">
        <v>144.4</v>
      </c>
      <c r="AM21" s="518"/>
      <c r="AN21" s="518"/>
      <c r="AO21" s="518"/>
      <c r="AP21" s="518"/>
      <c r="AQ21" s="518"/>
      <c r="AR21" s="519"/>
    </row>
    <row r="22" spans="1:44" s="8" customFormat="1" ht="12.75" hidden="1" customHeight="1" x14ac:dyDescent="0.2">
      <c r="A22" s="27" t="s">
        <v>64</v>
      </c>
      <c r="B22" s="26" t="s">
        <v>95</v>
      </c>
      <c r="C22" s="28">
        <v>0</v>
      </c>
      <c r="D22" s="23">
        <v>0</v>
      </c>
      <c r="E22" s="23">
        <v>0</v>
      </c>
      <c r="F22" s="23"/>
      <c r="G22" s="23"/>
      <c r="H22" s="24">
        <v>0</v>
      </c>
      <c r="I22" s="24">
        <v>0</v>
      </c>
      <c r="J22" s="28">
        <v>0</v>
      </c>
      <c r="K22" s="23">
        <v>0</v>
      </c>
      <c r="L22" s="23">
        <v>0</v>
      </c>
      <c r="M22" s="23"/>
      <c r="N22" s="23"/>
      <c r="O22" s="24">
        <v>0</v>
      </c>
      <c r="P22" s="85">
        <v>0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518">
        <v>390.8</v>
      </c>
      <c r="AM22" s="518"/>
      <c r="AN22" s="518"/>
      <c r="AO22" s="518"/>
      <c r="AP22" s="518"/>
      <c r="AQ22" s="518"/>
      <c r="AR22" s="519"/>
    </row>
    <row r="23" spans="1:44" s="8" customFormat="1" ht="11.25" customHeight="1" x14ac:dyDescent="0.2">
      <c r="A23" s="27" t="s">
        <v>59</v>
      </c>
      <c r="B23" s="26" t="s">
        <v>96</v>
      </c>
      <c r="C23" s="28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  <c r="I23" s="24">
        <v>0</v>
      </c>
      <c r="J23" s="28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85">
        <v>0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3"/>
      <c r="AF23" s="143"/>
      <c r="AG23" s="143"/>
      <c r="AH23" s="143"/>
      <c r="AI23" s="143"/>
      <c r="AJ23" s="143"/>
      <c r="AK23" s="143"/>
      <c r="AL23" s="518">
        <v>493.8</v>
      </c>
      <c r="AM23" s="518"/>
      <c r="AN23" s="518"/>
      <c r="AO23" s="518"/>
      <c r="AP23" s="518"/>
      <c r="AQ23" s="518"/>
      <c r="AR23" s="519"/>
    </row>
    <row r="24" spans="1:44" s="8" customFormat="1" ht="11.25" customHeight="1" x14ac:dyDescent="0.2">
      <c r="A24" s="27" t="s">
        <v>62</v>
      </c>
      <c r="B24" s="26" t="s">
        <v>97</v>
      </c>
      <c r="C24" s="28">
        <v>0</v>
      </c>
      <c r="D24" s="23">
        <v>0</v>
      </c>
      <c r="E24" s="23">
        <v>0</v>
      </c>
      <c r="F24" s="23">
        <v>0</v>
      </c>
      <c r="G24" s="23">
        <v>0</v>
      </c>
      <c r="H24" s="24">
        <v>0</v>
      </c>
      <c r="I24" s="24">
        <v>0</v>
      </c>
      <c r="J24" s="28">
        <v>0</v>
      </c>
      <c r="K24" s="23">
        <v>0</v>
      </c>
      <c r="L24" s="23">
        <v>0</v>
      </c>
      <c r="M24" s="23">
        <v>0</v>
      </c>
      <c r="N24" s="23">
        <v>0</v>
      </c>
      <c r="O24" s="24">
        <v>0</v>
      </c>
      <c r="P24" s="85">
        <v>0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143"/>
      <c r="AG24" s="143"/>
      <c r="AH24" s="143"/>
      <c r="AI24" s="143"/>
      <c r="AJ24" s="143"/>
      <c r="AK24" s="143"/>
      <c r="AL24" s="518">
        <v>1388.3</v>
      </c>
      <c r="AM24" s="518"/>
      <c r="AN24" s="518"/>
      <c r="AO24" s="518"/>
      <c r="AP24" s="518"/>
      <c r="AQ24" s="518"/>
      <c r="AR24" s="519"/>
    </row>
    <row r="25" spans="1:44" s="8" customFormat="1" ht="11.25" hidden="1" customHeight="1" x14ac:dyDescent="0.2">
      <c r="A25" s="27" t="s">
        <v>68</v>
      </c>
      <c r="B25" s="26" t="s">
        <v>98</v>
      </c>
      <c r="C25" s="28">
        <v>0</v>
      </c>
      <c r="D25" s="23">
        <v>0</v>
      </c>
      <c r="E25" s="23">
        <v>0</v>
      </c>
      <c r="F25" s="23"/>
      <c r="G25" s="23"/>
      <c r="H25" s="24">
        <v>0</v>
      </c>
      <c r="I25" s="24">
        <v>0</v>
      </c>
      <c r="J25" s="28">
        <v>0</v>
      </c>
      <c r="K25" s="23">
        <v>0</v>
      </c>
      <c r="L25" s="23">
        <v>0</v>
      </c>
      <c r="M25" s="23"/>
      <c r="N25" s="23"/>
      <c r="O25" s="24">
        <v>0</v>
      </c>
      <c r="P25" s="85">
        <v>0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518">
        <v>569.9</v>
      </c>
      <c r="AM25" s="518"/>
      <c r="AN25" s="518"/>
      <c r="AO25" s="518"/>
      <c r="AP25" s="518"/>
      <c r="AQ25" s="518"/>
      <c r="AR25" s="519"/>
    </row>
    <row r="26" spans="1:44" s="8" customFormat="1" ht="12.75" hidden="1" customHeight="1" x14ac:dyDescent="0.2">
      <c r="A26" s="27" t="s">
        <v>91</v>
      </c>
      <c r="B26" s="26" t="s">
        <v>99</v>
      </c>
      <c r="C26" s="28">
        <v>0</v>
      </c>
      <c r="D26" s="23">
        <v>0</v>
      </c>
      <c r="E26" s="23">
        <v>0</v>
      </c>
      <c r="F26" s="23"/>
      <c r="G26" s="23"/>
      <c r="H26" s="24">
        <v>0</v>
      </c>
      <c r="I26" s="24">
        <v>0</v>
      </c>
      <c r="J26" s="28">
        <v>0</v>
      </c>
      <c r="K26" s="23">
        <v>0</v>
      </c>
      <c r="L26" s="23">
        <v>0</v>
      </c>
      <c r="M26" s="23"/>
      <c r="N26" s="23"/>
      <c r="O26" s="24">
        <v>0</v>
      </c>
      <c r="P26" s="85">
        <v>0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518">
        <v>613.9</v>
      </c>
      <c r="AM26" s="518"/>
      <c r="AN26" s="518"/>
      <c r="AO26" s="518"/>
      <c r="AP26" s="518"/>
      <c r="AQ26" s="518"/>
      <c r="AR26" s="519"/>
    </row>
    <row r="27" spans="1:44" s="8" customFormat="1" ht="10.9" hidden="1" customHeight="1" x14ac:dyDescent="0.2">
      <c r="A27" s="27" t="s">
        <v>92</v>
      </c>
      <c r="B27" s="26" t="s">
        <v>100</v>
      </c>
      <c r="C27" s="28">
        <v>0</v>
      </c>
      <c r="D27" s="23">
        <v>0</v>
      </c>
      <c r="E27" s="23">
        <v>0</v>
      </c>
      <c r="F27" s="23"/>
      <c r="G27" s="23"/>
      <c r="H27" s="24">
        <v>0</v>
      </c>
      <c r="I27" s="24">
        <v>0</v>
      </c>
      <c r="J27" s="28">
        <v>0</v>
      </c>
      <c r="K27" s="23">
        <v>0</v>
      </c>
      <c r="L27" s="23">
        <v>0</v>
      </c>
      <c r="M27" s="23"/>
      <c r="N27" s="23"/>
      <c r="O27" s="24">
        <v>0</v>
      </c>
      <c r="P27" s="85">
        <v>0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518">
        <v>1160.5</v>
      </c>
      <c r="AM27" s="518"/>
      <c r="AN27" s="518"/>
      <c r="AO27" s="518"/>
      <c r="AP27" s="518"/>
      <c r="AQ27" s="518"/>
      <c r="AR27" s="519"/>
    </row>
    <row r="28" spans="1:44" s="8" customFormat="1" ht="11.25" thickBot="1" x14ac:dyDescent="0.25">
      <c r="A28" s="37" t="s">
        <v>64</v>
      </c>
      <c r="B28" s="81" t="s">
        <v>101</v>
      </c>
      <c r="C28" s="38">
        <v>0</v>
      </c>
      <c r="D28" s="39">
        <v>0</v>
      </c>
      <c r="E28" s="39">
        <v>0</v>
      </c>
      <c r="F28" s="39">
        <v>0</v>
      </c>
      <c r="G28" s="39">
        <v>0</v>
      </c>
      <c r="H28" s="40">
        <v>0</v>
      </c>
      <c r="I28" s="40">
        <v>0</v>
      </c>
      <c r="J28" s="38">
        <v>0</v>
      </c>
      <c r="K28" s="39">
        <v>0</v>
      </c>
      <c r="L28" s="39">
        <v>0</v>
      </c>
      <c r="M28" s="39">
        <v>0</v>
      </c>
      <c r="N28" s="39">
        <v>0</v>
      </c>
      <c r="O28" s="40">
        <v>0</v>
      </c>
      <c r="P28" s="86">
        <v>0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  <c r="AF28" s="143"/>
      <c r="AG28" s="143"/>
      <c r="AH28" s="143"/>
      <c r="AI28" s="143"/>
      <c r="AJ28" s="143"/>
      <c r="AK28" s="143"/>
      <c r="AL28" s="525">
        <v>678.3</v>
      </c>
      <c r="AM28" s="525"/>
      <c r="AN28" s="525"/>
      <c r="AO28" s="525"/>
      <c r="AP28" s="525"/>
      <c r="AQ28" s="525"/>
      <c r="AR28" s="526"/>
    </row>
    <row r="29" spans="1:44" ht="12.75" customHeight="1" x14ac:dyDescent="0.2"/>
    <row r="30" spans="1:44" ht="27" hidden="1" customHeight="1" x14ac:dyDescent="0.2">
      <c r="C30" s="2" t="s">
        <v>108</v>
      </c>
      <c r="D30" s="2"/>
      <c r="E30" s="2"/>
      <c r="F30" s="2"/>
      <c r="G30" s="2"/>
      <c r="H30" s="2"/>
      <c r="I30" s="2"/>
      <c r="J30" s="2"/>
      <c r="K30" s="527"/>
      <c r="L30" s="527"/>
      <c r="M30" s="527"/>
      <c r="N30" s="527"/>
      <c r="O30" s="527"/>
      <c r="P30" s="527"/>
      <c r="Q30" s="527"/>
      <c r="R30" s="527"/>
      <c r="S30" s="527"/>
      <c r="T30" s="52"/>
      <c r="U30" s="52"/>
    </row>
    <row r="31" spans="1:44" ht="12.75" hidden="1" customHeight="1" x14ac:dyDescent="0.2">
      <c r="C31" s="3" t="s">
        <v>30</v>
      </c>
      <c r="D31" s="3"/>
      <c r="E31" s="3"/>
      <c r="F31" s="3"/>
      <c r="G31" s="3"/>
      <c r="H31" s="3"/>
      <c r="I31" s="3"/>
      <c r="J31" s="3"/>
      <c r="K31" s="528"/>
      <c r="L31" s="528"/>
      <c r="M31" s="528"/>
      <c r="N31" s="528"/>
      <c r="O31" s="528"/>
      <c r="P31" s="528"/>
      <c r="Q31" s="528"/>
      <c r="R31" s="528"/>
      <c r="S31" s="528"/>
      <c r="T31" s="296"/>
      <c r="U31" s="296"/>
    </row>
    <row r="32" spans="1:44" ht="12.75" hidden="1" customHeight="1" x14ac:dyDescent="0.2"/>
    <row r="33" spans="1:23" ht="12.75" hidden="1" customHeight="1" x14ac:dyDescent="0.2"/>
    <row r="34" spans="1:23" ht="12.75" customHeight="1" thickBot="1" x14ac:dyDescent="0.25"/>
    <row r="35" spans="1:23" ht="12.75" customHeight="1" thickBot="1" x14ac:dyDescent="0.25">
      <c r="A35" s="495" t="s">
        <v>0</v>
      </c>
      <c r="B35" s="497" t="s">
        <v>71</v>
      </c>
      <c r="C35" s="499" t="s">
        <v>73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1"/>
    </row>
    <row r="36" spans="1:23" ht="39" customHeight="1" thickBot="1" x14ac:dyDescent="0.25">
      <c r="A36" s="496"/>
      <c r="B36" s="498"/>
      <c r="C36" s="503" t="s">
        <v>102</v>
      </c>
      <c r="D36" s="504"/>
      <c r="E36" s="504"/>
      <c r="F36" s="504"/>
      <c r="G36" s="504"/>
      <c r="H36" s="504"/>
      <c r="I36" s="524"/>
      <c r="J36" s="503" t="s">
        <v>105</v>
      </c>
      <c r="K36" s="504"/>
      <c r="L36" s="504"/>
      <c r="M36" s="504"/>
      <c r="N36" s="504"/>
      <c r="O36" s="504"/>
      <c r="P36" s="524"/>
      <c r="Q36" s="503" t="s">
        <v>103</v>
      </c>
      <c r="R36" s="504"/>
      <c r="S36" s="504"/>
      <c r="T36" s="504"/>
      <c r="U36" s="504"/>
      <c r="V36" s="504"/>
      <c r="W36" s="524"/>
    </row>
    <row r="37" spans="1:23" ht="17.45" customHeight="1" thickBot="1" x14ac:dyDescent="0.25">
      <c r="A37" s="496"/>
      <c r="B37" s="498"/>
      <c r="C37" s="495" t="s">
        <v>76</v>
      </c>
      <c r="D37" s="529" t="s">
        <v>77</v>
      </c>
      <c r="E37" s="530"/>
      <c r="F37" s="530"/>
      <c r="G37" s="530"/>
      <c r="H37" s="530"/>
      <c r="I37" s="531"/>
      <c r="J37" s="532" t="s">
        <v>76</v>
      </c>
      <c r="K37" s="499" t="s">
        <v>77</v>
      </c>
      <c r="L37" s="500"/>
      <c r="M37" s="500"/>
      <c r="N37" s="500"/>
      <c r="O37" s="500"/>
      <c r="P37" s="501"/>
      <c r="Q37" s="495" t="s">
        <v>76</v>
      </c>
      <c r="R37" s="499" t="s">
        <v>77</v>
      </c>
      <c r="S37" s="500"/>
      <c r="T37" s="500"/>
      <c r="U37" s="500"/>
      <c r="V37" s="500"/>
      <c r="W37" s="501"/>
    </row>
    <row r="38" spans="1:23" ht="12.75" customHeight="1" thickBot="1" x14ac:dyDescent="0.25">
      <c r="A38" s="496"/>
      <c r="B38" s="498"/>
      <c r="C38" s="496"/>
      <c r="D38" s="297">
        <v>2018</v>
      </c>
      <c r="E38" s="297">
        <v>2019</v>
      </c>
      <c r="F38" s="297">
        <v>2020</v>
      </c>
      <c r="G38" s="297">
        <v>2021</v>
      </c>
      <c r="H38" s="297">
        <v>2022</v>
      </c>
      <c r="I38" s="298">
        <v>2023</v>
      </c>
      <c r="J38" s="533"/>
      <c r="K38" s="35">
        <v>2018</v>
      </c>
      <c r="L38" s="35">
        <v>2019</v>
      </c>
      <c r="M38" s="35">
        <v>2020</v>
      </c>
      <c r="N38" s="35">
        <v>2021</v>
      </c>
      <c r="O38" s="35">
        <v>2022</v>
      </c>
      <c r="P38" s="82">
        <v>2023</v>
      </c>
      <c r="Q38" s="496"/>
      <c r="R38" s="35">
        <v>2018</v>
      </c>
      <c r="S38" s="35">
        <v>2019</v>
      </c>
      <c r="T38" s="35">
        <v>2020</v>
      </c>
      <c r="U38" s="35">
        <v>2021</v>
      </c>
      <c r="V38" s="35">
        <v>2022</v>
      </c>
      <c r="W38" s="136">
        <v>2023</v>
      </c>
    </row>
    <row r="39" spans="1:23" ht="12.75" customHeight="1" thickBot="1" x14ac:dyDescent="0.25">
      <c r="A39" s="36">
        <v>1</v>
      </c>
      <c r="B39" s="36">
        <v>2</v>
      </c>
      <c r="C39" s="83">
        <v>17</v>
      </c>
      <c r="D39" s="36">
        <v>18</v>
      </c>
      <c r="E39" s="36">
        <v>19</v>
      </c>
      <c r="F39" s="36">
        <v>20</v>
      </c>
      <c r="G39" s="36">
        <v>21</v>
      </c>
      <c r="H39" s="83">
        <v>22</v>
      </c>
      <c r="I39" s="83">
        <v>23</v>
      </c>
      <c r="J39" s="36">
        <v>24</v>
      </c>
      <c r="K39" s="36">
        <v>25</v>
      </c>
      <c r="L39" s="36">
        <v>26</v>
      </c>
      <c r="M39" s="83">
        <v>27</v>
      </c>
      <c r="N39" s="83">
        <v>28</v>
      </c>
      <c r="O39" s="83">
        <v>29</v>
      </c>
      <c r="P39" s="83">
        <v>30</v>
      </c>
      <c r="Q39" s="36">
        <v>31</v>
      </c>
      <c r="R39" s="36">
        <v>32</v>
      </c>
      <c r="S39" s="36">
        <v>33</v>
      </c>
      <c r="T39" s="36">
        <v>34</v>
      </c>
      <c r="U39" s="36">
        <v>35</v>
      </c>
      <c r="V39" s="36">
        <v>36</v>
      </c>
      <c r="W39" s="83">
        <v>37</v>
      </c>
    </row>
    <row r="40" spans="1:23" hidden="1" x14ac:dyDescent="0.2">
      <c r="A40" s="33" t="s">
        <v>90</v>
      </c>
      <c r="B40" s="34" t="s">
        <v>93</v>
      </c>
      <c r="C40" s="30"/>
      <c r="D40" s="31"/>
      <c r="E40" s="31"/>
      <c r="F40" s="31"/>
      <c r="G40" s="31"/>
      <c r="H40" s="29"/>
      <c r="I40" s="84"/>
      <c r="J40" s="32">
        <v>0</v>
      </c>
      <c r="K40" s="29">
        <v>0</v>
      </c>
      <c r="L40" s="29">
        <v>0</v>
      </c>
      <c r="M40" s="29"/>
      <c r="N40" s="29"/>
      <c r="O40" s="29">
        <v>0</v>
      </c>
      <c r="P40" s="84">
        <v>0</v>
      </c>
      <c r="Q40" s="30"/>
      <c r="R40" s="31"/>
      <c r="S40" s="31"/>
      <c r="T40" s="31"/>
      <c r="U40" s="31"/>
      <c r="V40" s="31"/>
      <c r="W40" s="137"/>
    </row>
    <row r="41" spans="1:23" x14ac:dyDescent="0.2">
      <c r="A41" s="27" t="s">
        <v>90</v>
      </c>
      <c r="B41" s="26" t="s">
        <v>561</v>
      </c>
      <c r="C41" s="28">
        <v>262.7</v>
      </c>
      <c r="D41" s="28">
        <v>262.7</v>
      </c>
      <c r="E41" s="522" t="s">
        <v>548</v>
      </c>
      <c r="F41" s="518"/>
      <c r="G41" s="518"/>
      <c r="H41" s="518"/>
      <c r="I41" s="523"/>
      <c r="J41" s="25">
        <v>2.819</v>
      </c>
      <c r="K41" s="25">
        <v>2.819</v>
      </c>
      <c r="L41" s="522" t="s">
        <v>548</v>
      </c>
      <c r="M41" s="518"/>
      <c r="N41" s="518"/>
      <c r="O41" s="518"/>
      <c r="P41" s="523"/>
      <c r="Q41" s="138">
        <v>1561.0229999999999</v>
      </c>
      <c r="R41" s="138">
        <v>1561.0229999999999</v>
      </c>
      <c r="S41" s="522" t="s">
        <v>548</v>
      </c>
      <c r="T41" s="518"/>
      <c r="U41" s="518"/>
      <c r="V41" s="518"/>
      <c r="W41" s="523"/>
    </row>
    <row r="42" spans="1:23" hidden="1" x14ac:dyDescent="0.2">
      <c r="A42" s="27" t="s">
        <v>62</v>
      </c>
      <c r="B42" s="26" t="s">
        <v>94</v>
      </c>
      <c r="C42" s="28"/>
      <c r="D42" s="28"/>
      <c r="E42" s="28"/>
      <c r="F42" s="28"/>
      <c r="G42" s="28"/>
      <c r="H42" s="28"/>
      <c r="I42" s="28"/>
      <c r="J42" s="25">
        <v>0</v>
      </c>
      <c r="K42" s="24">
        <v>0</v>
      </c>
      <c r="L42" s="24">
        <v>0</v>
      </c>
      <c r="M42" s="24"/>
      <c r="N42" s="24"/>
      <c r="O42" s="24">
        <v>0</v>
      </c>
      <c r="P42" s="85">
        <v>0</v>
      </c>
      <c r="Q42" s="28"/>
      <c r="R42" s="23"/>
      <c r="S42" s="23"/>
      <c r="T42" s="23"/>
      <c r="U42" s="23"/>
      <c r="V42" s="23"/>
      <c r="W42" s="140"/>
    </row>
    <row r="43" spans="1:23" hidden="1" x14ac:dyDescent="0.2">
      <c r="A43" s="27" t="s">
        <v>64</v>
      </c>
      <c r="B43" s="26" t="s">
        <v>95</v>
      </c>
      <c r="C43" s="28"/>
      <c r="D43" s="28"/>
      <c r="E43" s="28"/>
      <c r="F43" s="28"/>
      <c r="G43" s="28"/>
      <c r="H43" s="28"/>
      <c r="I43" s="28"/>
      <c r="J43" s="25">
        <v>0</v>
      </c>
      <c r="K43" s="24">
        <v>0</v>
      </c>
      <c r="L43" s="24">
        <v>0</v>
      </c>
      <c r="M43" s="24"/>
      <c r="N43" s="24"/>
      <c r="O43" s="24">
        <v>0</v>
      </c>
      <c r="P43" s="85">
        <v>0</v>
      </c>
      <c r="Q43" s="28"/>
      <c r="R43" s="23"/>
      <c r="S43" s="23"/>
      <c r="T43" s="23"/>
      <c r="U43" s="23"/>
      <c r="V43" s="23"/>
      <c r="W43" s="140"/>
    </row>
    <row r="44" spans="1:23" x14ac:dyDescent="0.2">
      <c r="A44" s="27" t="s">
        <v>59</v>
      </c>
      <c r="B44" s="26" t="s">
        <v>96</v>
      </c>
      <c r="C44" s="28">
        <v>229.5</v>
      </c>
      <c r="D44" s="28">
        <v>229.5</v>
      </c>
      <c r="E44" s="28">
        <v>229.5</v>
      </c>
      <c r="F44" s="28">
        <v>229.5</v>
      </c>
      <c r="G44" s="28">
        <v>229.5</v>
      </c>
      <c r="H44" s="28">
        <v>229.5</v>
      </c>
      <c r="I44" s="28">
        <v>229.5</v>
      </c>
      <c r="J44" s="25">
        <v>2.6845514448346197</v>
      </c>
      <c r="K44" s="25">
        <v>2.6835590343238134</v>
      </c>
      <c r="L44" s="25">
        <v>2.6835590343238134</v>
      </c>
      <c r="M44" s="25">
        <v>2.6835590343238134</v>
      </c>
      <c r="N44" s="25">
        <v>2.6835590343238134</v>
      </c>
      <c r="O44" s="25">
        <v>2.6835590343238134</v>
      </c>
      <c r="P44" s="25">
        <v>2.6835590343238134</v>
      </c>
      <c r="Q44" s="138">
        <v>1325.49</v>
      </c>
      <c r="R44" s="138">
        <v>1325</v>
      </c>
      <c r="S44" s="138">
        <v>1325</v>
      </c>
      <c r="T44" s="138">
        <v>1325</v>
      </c>
      <c r="U44" s="138">
        <v>1325</v>
      </c>
      <c r="V44" s="138">
        <v>1325</v>
      </c>
      <c r="W44" s="139">
        <v>1325</v>
      </c>
    </row>
    <row r="45" spans="1:23" x14ac:dyDescent="0.2">
      <c r="A45" s="27" t="s">
        <v>62</v>
      </c>
      <c r="B45" s="26" t="s">
        <v>97</v>
      </c>
      <c r="C45" s="28">
        <v>273.89999999999998</v>
      </c>
      <c r="D45" s="28">
        <v>273.89999999999998</v>
      </c>
      <c r="E45" s="28">
        <v>273.89999999999998</v>
      </c>
      <c r="F45" s="28">
        <v>273.89999999999998</v>
      </c>
      <c r="G45" s="28">
        <v>273.89999999999998</v>
      </c>
      <c r="H45" s="28">
        <v>273.89999999999998</v>
      </c>
      <c r="I45" s="28">
        <v>273.89999999999998</v>
      </c>
      <c r="J45" s="25">
        <v>3.2810000000000001</v>
      </c>
      <c r="K45" s="25">
        <v>3.2810000000000001</v>
      </c>
      <c r="L45" s="25">
        <v>3.2810000000000001</v>
      </c>
      <c r="M45" s="25">
        <v>3.2810000000000001</v>
      </c>
      <c r="N45" s="25">
        <v>3.2810000000000001</v>
      </c>
      <c r="O45" s="25">
        <v>3.2810000000000001</v>
      </c>
      <c r="P45" s="25">
        <v>3.2810000000000001</v>
      </c>
      <c r="Q45" s="138">
        <v>4555.3999999999987</v>
      </c>
      <c r="R45" s="138">
        <v>4555.3999999999987</v>
      </c>
      <c r="S45" s="138">
        <v>4555.3999999999987</v>
      </c>
      <c r="T45" s="138">
        <v>4555.3999999999987</v>
      </c>
      <c r="U45" s="138">
        <v>4555.3999999999987</v>
      </c>
      <c r="V45" s="138">
        <v>4555.3999999999987</v>
      </c>
      <c r="W45" s="139">
        <v>4555.3999999999987</v>
      </c>
    </row>
    <row r="46" spans="1:23" hidden="1" x14ac:dyDescent="0.2">
      <c r="A46" s="27" t="s">
        <v>68</v>
      </c>
      <c r="B46" s="26" t="s">
        <v>98</v>
      </c>
      <c r="C46" s="28"/>
      <c r="D46" s="28"/>
      <c r="E46" s="28"/>
      <c r="F46" s="28"/>
      <c r="G46" s="28"/>
      <c r="H46" s="28"/>
      <c r="I46" s="28"/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8"/>
      <c r="R46" s="23"/>
      <c r="S46" s="23"/>
      <c r="T46" s="23"/>
      <c r="U46" s="23"/>
      <c r="V46" s="23"/>
      <c r="W46" s="140"/>
    </row>
    <row r="47" spans="1:23" hidden="1" x14ac:dyDescent="0.2">
      <c r="A47" s="27" t="s">
        <v>91</v>
      </c>
      <c r="B47" s="26" t="s">
        <v>99</v>
      </c>
      <c r="C47" s="28"/>
      <c r="D47" s="28"/>
      <c r="E47" s="28"/>
      <c r="F47" s="28"/>
      <c r="G47" s="28"/>
      <c r="H47" s="28"/>
      <c r="I47" s="28"/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8"/>
      <c r="R47" s="23"/>
      <c r="S47" s="23"/>
      <c r="T47" s="23"/>
      <c r="U47" s="23"/>
      <c r="V47" s="23"/>
      <c r="W47" s="140"/>
    </row>
    <row r="48" spans="1:23" hidden="1" x14ac:dyDescent="0.2">
      <c r="A48" s="27" t="s">
        <v>92</v>
      </c>
      <c r="B48" s="26" t="s">
        <v>100</v>
      </c>
      <c r="C48" s="28"/>
      <c r="D48" s="28"/>
      <c r="E48" s="28"/>
      <c r="F48" s="28"/>
      <c r="G48" s="28"/>
      <c r="H48" s="28"/>
      <c r="I48" s="28"/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8"/>
      <c r="R48" s="23"/>
      <c r="S48" s="23"/>
      <c r="T48" s="23"/>
      <c r="U48" s="23"/>
      <c r="V48" s="23"/>
      <c r="W48" s="140"/>
    </row>
    <row r="49" spans="1:37" ht="13.5" thickBot="1" x14ac:dyDescent="0.25">
      <c r="A49" s="37" t="s">
        <v>64</v>
      </c>
      <c r="B49" s="81" t="s">
        <v>101</v>
      </c>
      <c r="C49" s="38">
        <v>269.39999999999998</v>
      </c>
      <c r="D49" s="38">
        <v>269.39999999999998</v>
      </c>
      <c r="E49" s="38">
        <v>269.39999999999998</v>
      </c>
      <c r="F49" s="38">
        <v>269.39999999999998</v>
      </c>
      <c r="G49" s="38">
        <v>269.39999999999998</v>
      </c>
      <c r="H49" s="38">
        <v>269.39999999999998</v>
      </c>
      <c r="I49" s="38">
        <v>269.39999999999998</v>
      </c>
      <c r="J49" s="41">
        <v>3.1749999999999998</v>
      </c>
      <c r="K49" s="41">
        <v>3.1749999999999998</v>
      </c>
      <c r="L49" s="41">
        <v>3.1749999999999998</v>
      </c>
      <c r="M49" s="41">
        <v>3.1749999999999998</v>
      </c>
      <c r="N49" s="41">
        <v>3.1749999999999998</v>
      </c>
      <c r="O49" s="41">
        <v>3.1749999999999998</v>
      </c>
      <c r="P49" s="41">
        <v>3.1749999999999998</v>
      </c>
      <c r="Q49" s="309">
        <v>2153.556</v>
      </c>
      <c r="R49" s="309">
        <v>2153.556</v>
      </c>
      <c r="S49" s="309">
        <v>2153.556</v>
      </c>
      <c r="T49" s="309">
        <v>2153.556</v>
      </c>
      <c r="U49" s="309">
        <v>2153.556</v>
      </c>
      <c r="V49" s="309">
        <v>2153.556</v>
      </c>
      <c r="W49" s="310">
        <v>2153.556</v>
      </c>
    </row>
    <row r="51" spans="1:37" ht="45" customHeight="1" x14ac:dyDescent="0.2">
      <c r="A51" s="2"/>
      <c r="B51" s="2"/>
      <c r="C51" s="2" t="s">
        <v>562</v>
      </c>
      <c r="D51" s="2"/>
      <c r="E51" s="2"/>
      <c r="F51" s="2"/>
      <c r="G51" s="2"/>
      <c r="H51" s="2"/>
      <c r="I51" s="2"/>
      <c r="J51" s="2"/>
      <c r="K51" s="2"/>
      <c r="L51" s="534" t="s">
        <v>563</v>
      </c>
      <c r="M51" s="534"/>
      <c r="N51" s="534"/>
      <c r="O51" s="534"/>
      <c r="P51" s="534"/>
      <c r="Q51" s="534"/>
      <c r="R51" s="534"/>
      <c r="S51" s="534"/>
      <c r="T51" s="534"/>
      <c r="U51" s="534"/>
      <c r="V51" s="534"/>
      <c r="W51" s="146"/>
    </row>
    <row r="52" spans="1:37" x14ac:dyDescent="0.2">
      <c r="K52" s="475" t="s">
        <v>125</v>
      </c>
      <c r="L52" s="475"/>
      <c r="M52" s="475"/>
      <c r="N52" s="475"/>
      <c r="O52" s="475"/>
      <c r="P52" s="475"/>
      <c r="Q52" s="475"/>
      <c r="R52" s="475"/>
    </row>
    <row r="53" spans="1:3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</row>
    <row r="54" spans="1:37" x14ac:dyDescent="0.2">
      <c r="K54" s="475"/>
      <c r="L54" s="475"/>
      <c r="M54" s="475"/>
      <c r="N54" s="475"/>
      <c r="O54" s="475"/>
      <c r="P54" s="475"/>
      <c r="Q54" s="475"/>
      <c r="R54" s="475"/>
    </row>
    <row r="57" spans="1:37" s="2" customFormat="1" ht="12" x14ac:dyDescent="0.2"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146"/>
    </row>
    <row r="58" spans="1:37" s="3" customFormat="1" ht="12" x14ac:dyDescent="0.2">
      <c r="L58" s="475"/>
      <c r="M58" s="475"/>
      <c r="N58" s="475"/>
      <c r="O58" s="475"/>
      <c r="P58" s="475"/>
      <c r="Q58" s="475"/>
      <c r="R58" s="475"/>
      <c r="S58" s="475"/>
      <c r="T58" s="294"/>
      <c r="U58" s="294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</sheetData>
  <mergeCells count="57">
    <mergeCell ref="K54:R54"/>
    <mergeCell ref="L57:W57"/>
    <mergeCell ref="L58:S58"/>
    <mergeCell ref="E41:I41"/>
    <mergeCell ref="L41:P41"/>
    <mergeCell ref="S41:W41"/>
    <mergeCell ref="L51:V51"/>
    <mergeCell ref="K52:R52"/>
    <mergeCell ref="L53:W53"/>
    <mergeCell ref="AL27:AR27"/>
    <mergeCell ref="AL28:AR28"/>
    <mergeCell ref="K30:S30"/>
    <mergeCell ref="K31:S31"/>
    <mergeCell ref="C37:C38"/>
    <mergeCell ref="D37:I37"/>
    <mergeCell ref="J37:J38"/>
    <mergeCell ref="K37:P37"/>
    <mergeCell ref="Q37:Q38"/>
    <mergeCell ref="A35:A38"/>
    <mergeCell ref="B35:B38"/>
    <mergeCell ref="C35:W35"/>
    <mergeCell ref="C36:I36"/>
    <mergeCell ref="J36:P36"/>
    <mergeCell ref="Q36:W36"/>
    <mergeCell ref="R37:W37"/>
    <mergeCell ref="AL26:AR26"/>
    <mergeCell ref="AE16:AE17"/>
    <mergeCell ref="AF16:AK16"/>
    <mergeCell ref="AL19:AR19"/>
    <mergeCell ref="E20:I20"/>
    <mergeCell ref="L20:P20"/>
    <mergeCell ref="AL20:AR20"/>
    <mergeCell ref="AL21:AR21"/>
    <mergeCell ref="AL22:AR22"/>
    <mergeCell ref="AL23:AR23"/>
    <mergeCell ref="AL24:AR24"/>
    <mergeCell ref="AL25:AR25"/>
    <mergeCell ref="AL15:AR15"/>
    <mergeCell ref="C16:C17"/>
    <mergeCell ref="D16:I16"/>
    <mergeCell ref="J16:J17"/>
    <mergeCell ref="K16:P16"/>
    <mergeCell ref="Q16:Q17"/>
    <mergeCell ref="R16:W16"/>
    <mergeCell ref="X16:X17"/>
    <mergeCell ref="Y16:AD16"/>
    <mergeCell ref="A11:W11"/>
    <mergeCell ref="A12:W12"/>
    <mergeCell ref="A14:A17"/>
    <mergeCell ref="B14:B17"/>
    <mergeCell ref="C14:P14"/>
    <mergeCell ref="Q14:AK14"/>
    <mergeCell ref="C15:I15"/>
    <mergeCell ref="J15:P15"/>
    <mergeCell ref="Q15:W15"/>
    <mergeCell ref="X15:AD15"/>
    <mergeCell ref="AE15:AK15"/>
  </mergeCells>
  <pageMargins left="0.51181102362204722" right="0.35433070866141736" top="0.55118110236220474" bottom="0.27559055118110237" header="0.31496062992125984" footer="0.19685039370078741"/>
  <pageSetup paperSize="9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54"/>
  <sheetViews>
    <sheetView view="pageBreakPreview" zoomScale="110" zoomScaleNormal="100" zoomScaleSheetLayoutView="110" workbookViewId="0">
      <selection activeCell="R1" sqref="R1:R8"/>
    </sheetView>
  </sheetViews>
  <sheetFormatPr defaultColWidth="0.85546875" defaultRowHeight="12.75" x14ac:dyDescent="0.2"/>
  <cols>
    <col min="1" max="1" width="3" style="4" customWidth="1"/>
    <col min="2" max="2" width="15.42578125" style="4" customWidth="1"/>
    <col min="3" max="3" width="6.42578125" style="4" customWidth="1"/>
    <col min="4" max="4" width="4.85546875" style="4" customWidth="1"/>
    <col min="5" max="7" width="5.28515625" style="4" customWidth="1"/>
    <col min="8" max="9" width="4.7109375" style="4" customWidth="1"/>
    <col min="10" max="10" width="6.28515625" style="4" customWidth="1"/>
    <col min="11" max="11" width="5.140625" style="4" customWidth="1"/>
    <col min="12" max="14" width="5" style="4" customWidth="1"/>
    <col min="15" max="15" width="4.85546875" style="4" customWidth="1"/>
    <col min="16" max="16" width="5.28515625" style="4" customWidth="1"/>
    <col min="17" max="17" width="6.42578125" style="4" customWidth="1"/>
    <col min="18" max="18" width="5.5703125" style="4" customWidth="1"/>
    <col min="19" max="21" width="5.85546875" style="4" bestFit="1" customWidth="1"/>
    <col min="22" max="22" width="5.5703125" style="4" customWidth="1"/>
    <col min="23" max="23" width="7.42578125" style="4" customWidth="1"/>
    <col min="24" max="24" width="6.42578125" style="4" customWidth="1"/>
    <col min="25" max="25" width="6" style="4" customWidth="1"/>
    <col min="26" max="28" width="5.7109375" style="4" customWidth="1"/>
    <col min="29" max="29" width="6.28515625" style="4" customWidth="1"/>
    <col min="30" max="30" width="6.140625" style="4" customWidth="1"/>
    <col min="31" max="31" width="6.5703125" style="4" customWidth="1"/>
    <col min="32" max="35" width="6" style="4" customWidth="1"/>
    <col min="36" max="36" width="5.7109375" style="4" customWidth="1"/>
    <col min="37" max="37" width="6.28515625" style="4" customWidth="1"/>
    <col min="38" max="38" width="9.5703125" style="4" hidden="1" customWidth="1"/>
    <col min="39" max="44" width="0.85546875" style="4" hidden="1" customWidth="1"/>
    <col min="45" max="55" width="0" style="4" hidden="1" customWidth="1"/>
    <col min="56" max="16384" width="0.85546875" style="4"/>
  </cols>
  <sheetData>
    <row r="1" spans="1:44" ht="15" x14ac:dyDescent="0.25">
      <c r="R1" s="127" t="s">
        <v>535</v>
      </c>
      <c r="S1" s="131"/>
      <c r="T1" s="131"/>
      <c r="U1" s="131"/>
      <c r="V1" s="131"/>
      <c r="W1" s="131"/>
    </row>
    <row r="2" spans="1:44" ht="15" x14ac:dyDescent="0.25">
      <c r="R2" s="127" t="s">
        <v>531</v>
      </c>
      <c r="S2" s="131"/>
      <c r="T2" s="131"/>
      <c r="U2" s="131"/>
      <c r="V2" s="131"/>
      <c r="W2" s="131"/>
    </row>
    <row r="3" spans="1:44" ht="15" x14ac:dyDescent="0.25">
      <c r="R3" s="127" t="s">
        <v>532</v>
      </c>
      <c r="S3" s="131"/>
      <c r="T3" s="131"/>
      <c r="U3" s="131"/>
      <c r="V3" s="131"/>
      <c r="W3" s="131"/>
    </row>
    <row r="4" spans="1:44" ht="15" x14ac:dyDescent="0.25">
      <c r="R4" s="127" t="s">
        <v>543</v>
      </c>
      <c r="S4" s="131"/>
      <c r="T4" s="131"/>
      <c r="U4" s="131"/>
      <c r="V4" s="131"/>
      <c r="W4" s="131"/>
    </row>
    <row r="5" spans="1:44" s="2" customFormat="1" ht="15" x14ac:dyDescent="0.25">
      <c r="R5" s="131" t="s">
        <v>560</v>
      </c>
      <c r="S5" s="308"/>
      <c r="T5" s="308"/>
      <c r="U5" s="308"/>
      <c r="V5" s="308"/>
      <c r="W5" s="308"/>
    </row>
    <row r="6" spans="1:44" s="2" customFormat="1" ht="15" x14ac:dyDescent="0.25">
      <c r="R6" s="131" t="s">
        <v>531</v>
      </c>
      <c r="S6" s="308"/>
      <c r="T6" s="308"/>
      <c r="U6" s="308"/>
      <c r="V6" s="308"/>
      <c r="W6" s="308"/>
    </row>
    <row r="7" spans="1:44" s="3" customFormat="1" ht="15" x14ac:dyDescent="0.25">
      <c r="R7" s="131" t="s">
        <v>532</v>
      </c>
      <c r="S7" s="131"/>
      <c r="T7" s="131"/>
      <c r="U7" s="131"/>
      <c r="V7" s="131"/>
      <c r="W7" s="131"/>
    </row>
    <row r="8" spans="1:44" s="3" customFormat="1" ht="15" x14ac:dyDescent="0.25">
      <c r="R8" s="131" t="s">
        <v>533</v>
      </c>
      <c r="S8" s="131"/>
      <c r="T8" s="131"/>
      <c r="U8" s="131"/>
      <c r="V8" s="131"/>
      <c r="W8" s="131"/>
    </row>
    <row r="9" spans="1:44" s="2" customFormat="1" ht="17.45" customHeight="1" x14ac:dyDescent="0.2">
      <c r="A9" s="494" t="s">
        <v>70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</row>
    <row r="10" spans="1:44" ht="15" customHeight="1" x14ac:dyDescent="0.2">
      <c r="A10" s="398" t="s">
        <v>139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</row>
    <row r="11" spans="1:44" s="3" customFormat="1" thickBot="1" x14ac:dyDescent="0.25"/>
    <row r="12" spans="1:44" s="5" customFormat="1" ht="13.5" customHeight="1" thickBot="1" x14ac:dyDescent="0.25">
      <c r="A12" s="532" t="s">
        <v>0</v>
      </c>
      <c r="B12" s="536" t="s">
        <v>71</v>
      </c>
      <c r="C12" s="499" t="s">
        <v>72</v>
      </c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1"/>
      <c r="Q12" s="498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</row>
    <row r="13" spans="1:44" s="5" customFormat="1" ht="54" customHeight="1" thickBot="1" x14ac:dyDescent="0.25">
      <c r="A13" s="535"/>
      <c r="B13" s="537"/>
      <c r="C13" s="503" t="s">
        <v>74</v>
      </c>
      <c r="D13" s="504"/>
      <c r="E13" s="504"/>
      <c r="F13" s="504"/>
      <c r="G13" s="504"/>
      <c r="H13" s="504"/>
      <c r="I13" s="524"/>
      <c r="J13" s="503" t="s">
        <v>75</v>
      </c>
      <c r="K13" s="504"/>
      <c r="L13" s="504"/>
      <c r="M13" s="504"/>
      <c r="N13" s="504"/>
      <c r="O13" s="504"/>
      <c r="P13" s="524"/>
      <c r="Q13" s="539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9" t="s">
        <v>104</v>
      </c>
      <c r="AM13" s="510"/>
      <c r="AN13" s="510"/>
      <c r="AO13" s="510"/>
      <c r="AP13" s="510"/>
      <c r="AQ13" s="510"/>
      <c r="AR13" s="510"/>
    </row>
    <row r="14" spans="1:44" s="6" customFormat="1" ht="13.5" customHeight="1" thickBot="1" x14ac:dyDescent="0.25">
      <c r="A14" s="535"/>
      <c r="B14" s="537"/>
      <c r="C14" s="532" t="s">
        <v>76</v>
      </c>
      <c r="D14" s="499" t="s">
        <v>77</v>
      </c>
      <c r="E14" s="500"/>
      <c r="F14" s="500"/>
      <c r="G14" s="500"/>
      <c r="H14" s="500"/>
      <c r="I14" s="501"/>
      <c r="J14" s="532" t="s">
        <v>76</v>
      </c>
      <c r="K14" s="499" t="s">
        <v>77</v>
      </c>
      <c r="L14" s="500"/>
      <c r="M14" s="500"/>
      <c r="N14" s="500"/>
      <c r="O14" s="500"/>
      <c r="P14" s="501"/>
      <c r="Q14" s="496"/>
      <c r="R14" s="502"/>
      <c r="S14" s="502"/>
      <c r="T14" s="502"/>
      <c r="U14" s="502"/>
      <c r="V14" s="502"/>
      <c r="W14" s="502"/>
      <c r="X14" s="517"/>
      <c r="Y14" s="502"/>
      <c r="Z14" s="502"/>
      <c r="AA14" s="502"/>
      <c r="AB14" s="502"/>
      <c r="AC14" s="502"/>
      <c r="AD14" s="502"/>
      <c r="AE14" s="517"/>
      <c r="AF14" s="502"/>
      <c r="AG14" s="502"/>
      <c r="AH14" s="502"/>
      <c r="AI14" s="502"/>
      <c r="AJ14" s="502"/>
      <c r="AK14" s="502"/>
    </row>
    <row r="15" spans="1:44" s="6" customFormat="1" ht="19.5" customHeight="1" thickBot="1" x14ac:dyDescent="0.25">
      <c r="A15" s="533"/>
      <c r="B15" s="538"/>
      <c r="C15" s="533"/>
      <c r="D15" s="297">
        <v>2018</v>
      </c>
      <c r="E15" s="297">
        <v>2019</v>
      </c>
      <c r="F15" s="297">
        <v>2020</v>
      </c>
      <c r="G15" s="297">
        <v>2021</v>
      </c>
      <c r="H15" s="297">
        <v>2022</v>
      </c>
      <c r="I15" s="298">
        <v>2023</v>
      </c>
      <c r="J15" s="533"/>
      <c r="K15" s="297">
        <v>2018</v>
      </c>
      <c r="L15" s="297">
        <v>2019</v>
      </c>
      <c r="M15" s="297">
        <v>2020</v>
      </c>
      <c r="N15" s="297">
        <v>2021</v>
      </c>
      <c r="O15" s="297">
        <v>2022</v>
      </c>
      <c r="P15" s="299">
        <v>2023</v>
      </c>
      <c r="Q15" s="496"/>
      <c r="R15" s="300"/>
      <c r="S15" s="300"/>
      <c r="T15" s="300"/>
      <c r="U15" s="300"/>
      <c r="V15" s="300"/>
      <c r="W15" s="300"/>
      <c r="X15" s="517"/>
      <c r="Y15" s="300"/>
      <c r="Z15" s="300"/>
      <c r="AA15" s="300"/>
      <c r="AB15" s="300"/>
      <c r="AC15" s="300"/>
      <c r="AD15" s="300"/>
      <c r="AE15" s="517"/>
      <c r="AF15" s="300"/>
      <c r="AG15" s="300"/>
      <c r="AH15" s="300"/>
      <c r="AI15" s="300"/>
      <c r="AJ15" s="300"/>
      <c r="AK15" s="300"/>
    </row>
    <row r="16" spans="1:44" s="7" customFormat="1" ht="11.25" customHeight="1" thickBot="1" x14ac:dyDescent="0.25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47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13</v>
      </c>
      <c r="N16" s="36">
        <v>14</v>
      </c>
      <c r="O16" s="36">
        <v>15</v>
      </c>
      <c r="P16" s="83">
        <v>16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</row>
    <row r="17" spans="1:44" s="8" customFormat="1" ht="11.25" hidden="1" customHeight="1" x14ac:dyDescent="0.2">
      <c r="A17" s="33" t="s">
        <v>90</v>
      </c>
      <c r="B17" s="34" t="s">
        <v>93</v>
      </c>
      <c r="C17" s="30">
        <v>0</v>
      </c>
      <c r="D17" s="31">
        <v>0</v>
      </c>
      <c r="E17" s="31">
        <v>0</v>
      </c>
      <c r="F17" s="31"/>
      <c r="G17" s="31"/>
      <c r="H17" s="29">
        <v>0</v>
      </c>
      <c r="I17" s="29">
        <v>0</v>
      </c>
      <c r="J17" s="30">
        <v>0</v>
      </c>
      <c r="K17" s="31">
        <v>0</v>
      </c>
      <c r="L17" s="31">
        <v>0</v>
      </c>
      <c r="M17" s="31"/>
      <c r="N17" s="31"/>
      <c r="O17" s="29">
        <v>0</v>
      </c>
      <c r="P17" s="84">
        <v>0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520">
        <v>129.69999999999999</v>
      </c>
      <c r="AM17" s="520"/>
      <c r="AN17" s="520"/>
      <c r="AO17" s="520"/>
      <c r="AP17" s="520"/>
      <c r="AQ17" s="520"/>
      <c r="AR17" s="521"/>
    </row>
    <row r="18" spans="1:44" s="8" customFormat="1" ht="11.25" hidden="1" customHeight="1" x14ac:dyDescent="0.2">
      <c r="A18" s="27" t="s">
        <v>62</v>
      </c>
      <c r="B18" s="26" t="s">
        <v>94</v>
      </c>
      <c r="C18" s="28">
        <v>0</v>
      </c>
      <c r="D18" s="23">
        <v>0</v>
      </c>
      <c r="E18" s="23">
        <v>0</v>
      </c>
      <c r="F18" s="23"/>
      <c r="G18" s="23"/>
      <c r="H18" s="24">
        <v>0</v>
      </c>
      <c r="I18" s="24">
        <v>0</v>
      </c>
      <c r="J18" s="28">
        <v>0</v>
      </c>
      <c r="K18" s="23">
        <v>0</v>
      </c>
      <c r="L18" s="23">
        <v>0</v>
      </c>
      <c r="M18" s="23"/>
      <c r="N18" s="23"/>
      <c r="O18" s="24">
        <v>0</v>
      </c>
      <c r="P18" s="85">
        <v>0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518">
        <v>144.4</v>
      </c>
      <c r="AM18" s="518"/>
      <c r="AN18" s="518"/>
      <c r="AO18" s="518"/>
      <c r="AP18" s="518"/>
      <c r="AQ18" s="518"/>
      <c r="AR18" s="519"/>
    </row>
    <row r="19" spans="1:44" s="8" customFormat="1" ht="12.75" hidden="1" customHeight="1" x14ac:dyDescent="0.2">
      <c r="A19" s="27" t="s">
        <v>64</v>
      </c>
      <c r="B19" s="26" t="s">
        <v>95</v>
      </c>
      <c r="C19" s="28">
        <v>0</v>
      </c>
      <c r="D19" s="23">
        <v>0</v>
      </c>
      <c r="E19" s="23">
        <v>0</v>
      </c>
      <c r="F19" s="23"/>
      <c r="G19" s="23"/>
      <c r="H19" s="24">
        <v>0</v>
      </c>
      <c r="I19" s="24">
        <v>0</v>
      </c>
      <c r="J19" s="28">
        <v>0</v>
      </c>
      <c r="K19" s="23">
        <v>0</v>
      </c>
      <c r="L19" s="23">
        <v>0</v>
      </c>
      <c r="M19" s="23"/>
      <c r="N19" s="23"/>
      <c r="O19" s="24">
        <v>0</v>
      </c>
      <c r="P19" s="85">
        <v>0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518">
        <v>390.8</v>
      </c>
      <c r="AM19" s="518"/>
      <c r="AN19" s="518"/>
      <c r="AO19" s="518"/>
      <c r="AP19" s="518"/>
      <c r="AQ19" s="518"/>
      <c r="AR19" s="519"/>
    </row>
    <row r="20" spans="1:44" s="8" customFormat="1" ht="11.25" customHeight="1" x14ac:dyDescent="0.2">
      <c r="A20" s="27" t="s">
        <v>90</v>
      </c>
      <c r="B20" s="26" t="s">
        <v>96</v>
      </c>
      <c r="C20" s="28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  <c r="I20" s="24">
        <v>0</v>
      </c>
      <c r="J20" s="28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85">
        <v>0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3"/>
      <c r="AF20" s="143"/>
      <c r="AG20" s="143"/>
      <c r="AH20" s="143"/>
      <c r="AI20" s="143"/>
      <c r="AJ20" s="143"/>
      <c r="AK20" s="143"/>
      <c r="AL20" s="518">
        <v>493.8</v>
      </c>
      <c r="AM20" s="518"/>
      <c r="AN20" s="518"/>
      <c r="AO20" s="518"/>
      <c r="AP20" s="518"/>
      <c r="AQ20" s="518"/>
      <c r="AR20" s="519"/>
    </row>
    <row r="21" spans="1:44" s="8" customFormat="1" ht="11.25" customHeight="1" x14ac:dyDescent="0.2">
      <c r="A21" s="27" t="s">
        <v>59</v>
      </c>
      <c r="B21" s="26" t="s">
        <v>97</v>
      </c>
      <c r="C21" s="28">
        <v>0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  <c r="I21" s="24">
        <v>0</v>
      </c>
      <c r="J21" s="28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85">
        <v>0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3"/>
      <c r="AF21" s="143"/>
      <c r="AG21" s="143"/>
      <c r="AH21" s="143"/>
      <c r="AI21" s="143"/>
      <c r="AJ21" s="143"/>
      <c r="AK21" s="143"/>
      <c r="AL21" s="518">
        <v>1388.3</v>
      </c>
      <c r="AM21" s="518"/>
      <c r="AN21" s="518"/>
      <c r="AO21" s="518"/>
      <c r="AP21" s="518"/>
      <c r="AQ21" s="518"/>
      <c r="AR21" s="519"/>
    </row>
    <row r="22" spans="1:44" s="8" customFormat="1" ht="11.25" hidden="1" customHeight="1" x14ac:dyDescent="0.2">
      <c r="A22" s="27" t="s">
        <v>68</v>
      </c>
      <c r="B22" s="26" t="s">
        <v>98</v>
      </c>
      <c r="C22" s="28">
        <v>0</v>
      </c>
      <c r="D22" s="23">
        <v>0</v>
      </c>
      <c r="E22" s="23">
        <v>0</v>
      </c>
      <c r="F22" s="23"/>
      <c r="G22" s="23"/>
      <c r="H22" s="24">
        <v>0</v>
      </c>
      <c r="I22" s="24">
        <v>0</v>
      </c>
      <c r="J22" s="28">
        <v>0</v>
      </c>
      <c r="K22" s="23">
        <v>0</v>
      </c>
      <c r="L22" s="23">
        <v>0</v>
      </c>
      <c r="M22" s="23"/>
      <c r="N22" s="23"/>
      <c r="O22" s="24">
        <v>0</v>
      </c>
      <c r="P22" s="85">
        <v>0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518">
        <v>569.9</v>
      </c>
      <c r="AM22" s="518"/>
      <c r="AN22" s="518"/>
      <c r="AO22" s="518"/>
      <c r="AP22" s="518"/>
      <c r="AQ22" s="518"/>
      <c r="AR22" s="519"/>
    </row>
    <row r="23" spans="1:44" s="8" customFormat="1" ht="12.75" hidden="1" customHeight="1" x14ac:dyDescent="0.2">
      <c r="A23" s="27" t="s">
        <v>91</v>
      </c>
      <c r="B23" s="26" t="s">
        <v>99</v>
      </c>
      <c r="C23" s="28">
        <v>0</v>
      </c>
      <c r="D23" s="23">
        <v>0</v>
      </c>
      <c r="E23" s="23">
        <v>0</v>
      </c>
      <c r="F23" s="23"/>
      <c r="G23" s="23"/>
      <c r="H23" s="24">
        <v>0</v>
      </c>
      <c r="I23" s="24">
        <v>0</v>
      </c>
      <c r="J23" s="28">
        <v>0</v>
      </c>
      <c r="K23" s="23">
        <v>0</v>
      </c>
      <c r="L23" s="23">
        <v>0</v>
      </c>
      <c r="M23" s="23"/>
      <c r="N23" s="23"/>
      <c r="O23" s="24">
        <v>0</v>
      </c>
      <c r="P23" s="85">
        <v>0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518">
        <v>613.9</v>
      </c>
      <c r="AM23" s="518"/>
      <c r="AN23" s="518"/>
      <c r="AO23" s="518"/>
      <c r="AP23" s="518"/>
      <c r="AQ23" s="518"/>
      <c r="AR23" s="519"/>
    </row>
    <row r="24" spans="1:44" s="8" customFormat="1" ht="10.9" hidden="1" customHeight="1" x14ac:dyDescent="0.2">
      <c r="A24" s="27" t="s">
        <v>92</v>
      </c>
      <c r="B24" s="26" t="s">
        <v>100</v>
      </c>
      <c r="C24" s="28">
        <v>0</v>
      </c>
      <c r="D24" s="23">
        <v>0</v>
      </c>
      <c r="E24" s="23">
        <v>0</v>
      </c>
      <c r="F24" s="23"/>
      <c r="G24" s="23"/>
      <c r="H24" s="24">
        <v>0</v>
      </c>
      <c r="I24" s="24">
        <v>0</v>
      </c>
      <c r="J24" s="28">
        <v>0</v>
      </c>
      <c r="K24" s="23">
        <v>0</v>
      </c>
      <c r="L24" s="23">
        <v>0</v>
      </c>
      <c r="M24" s="23"/>
      <c r="N24" s="23"/>
      <c r="O24" s="24">
        <v>0</v>
      </c>
      <c r="P24" s="85">
        <v>0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518">
        <v>1160.5</v>
      </c>
      <c r="AM24" s="518"/>
      <c r="AN24" s="518"/>
      <c r="AO24" s="518"/>
      <c r="AP24" s="518"/>
      <c r="AQ24" s="518"/>
      <c r="AR24" s="519"/>
    </row>
    <row r="25" spans="1:44" s="8" customFormat="1" ht="11.25" thickBot="1" x14ac:dyDescent="0.25">
      <c r="A25" s="37" t="s">
        <v>62</v>
      </c>
      <c r="B25" s="81" t="s">
        <v>101</v>
      </c>
      <c r="C25" s="38">
        <v>0</v>
      </c>
      <c r="D25" s="39">
        <v>0</v>
      </c>
      <c r="E25" s="39">
        <v>0</v>
      </c>
      <c r="F25" s="39">
        <v>0</v>
      </c>
      <c r="G25" s="39">
        <v>0</v>
      </c>
      <c r="H25" s="40">
        <v>0</v>
      </c>
      <c r="I25" s="40">
        <v>0</v>
      </c>
      <c r="J25" s="38">
        <v>0</v>
      </c>
      <c r="K25" s="39">
        <v>0</v>
      </c>
      <c r="L25" s="39">
        <v>0</v>
      </c>
      <c r="M25" s="39">
        <v>0</v>
      </c>
      <c r="N25" s="39">
        <v>0</v>
      </c>
      <c r="O25" s="40">
        <v>0</v>
      </c>
      <c r="P25" s="86">
        <v>0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3"/>
      <c r="AF25" s="143"/>
      <c r="AG25" s="143"/>
      <c r="AH25" s="143"/>
      <c r="AI25" s="143"/>
      <c r="AJ25" s="143"/>
      <c r="AK25" s="143"/>
      <c r="AL25" s="525">
        <v>678.3</v>
      </c>
      <c r="AM25" s="525"/>
      <c r="AN25" s="525"/>
      <c r="AO25" s="525"/>
      <c r="AP25" s="525"/>
      <c r="AQ25" s="525"/>
      <c r="AR25" s="526"/>
    </row>
    <row r="26" spans="1:44" ht="12.75" customHeight="1" x14ac:dyDescent="0.2"/>
    <row r="27" spans="1:44" ht="27" hidden="1" customHeight="1" x14ac:dyDescent="0.2">
      <c r="C27" s="2" t="s">
        <v>108</v>
      </c>
      <c r="D27" s="2"/>
      <c r="E27" s="2"/>
      <c r="F27" s="2"/>
      <c r="G27" s="2"/>
      <c r="H27" s="2"/>
      <c r="I27" s="2"/>
      <c r="J27" s="2"/>
      <c r="K27" s="527"/>
      <c r="L27" s="527"/>
      <c r="M27" s="527"/>
      <c r="N27" s="527"/>
      <c r="O27" s="527"/>
      <c r="P27" s="527"/>
      <c r="Q27" s="527"/>
      <c r="R27" s="527"/>
      <c r="S27" s="527"/>
      <c r="T27" s="52"/>
      <c r="U27" s="52"/>
    </row>
    <row r="28" spans="1:44" ht="12.75" hidden="1" customHeight="1" x14ac:dyDescent="0.2">
      <c r="C28" s="3" t="s">
        <v>30</v>
      </c>
      <c r="D28" s="3"/>
      <c r="E28" s="3"/>
      <c r="F28" s="3"/>
      <c r="G28" s="3"/>
      <c r="H28" s="3"/>
      <c r="I28" s="3"/>
      <c r="J28" s="3"/>
      <c r="K28" s="400"/>
      <c r="L28" s="400"/>
      <c r="M28" s="400"/>
      <c r="N28" s="400"/>
      <c r="O28" s="400"/>
      <c r="P28" s="400"/>
      <c r="Q28" s="400"/>
      <c r="R28" s="400"/>
      <c r="S28" s="400"/>
      <c r="T28" s="296"/>
      <c r="U28" s="296"/>
    </row>
    <row r="29" spans="1:44" ht="12.75" hidden="1" customHeight="1" x14ac:dyDescent="0.2"/>
    <row r="30" spans="1:44" ht="12.75" hidden="1" customHeight="1" x14ac:dyDescent="0.2"/>
    <row r="31" spans="1:44" ht="12.75" customHeight="1" thickBot="1" x14ac:dyDescent="0.25"/>
    <row r="32" spans="1:44" ht="12.75" customHeight="1" thickBot="1" x14ac:dyDescent="0.25">
      <c r="A32" s="532" t="s">
        <v>0</v>
      </c>
      <c r="B32" s="536" t="s">
        <v>71</v>
      </c>
      <c r="C32" s="499" t="s">
        <v>73</v>
      </c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1"/>
    </row>
    <row r="33" spans="1:23" ht="39" customHeight="1" thickBot="1" x14ac:dyDescent="0.25">
      <c r="A33" s="535"/>
      <c r="B33" s="537"/>
      <c r="C33" s="503" t="s">
        <v>102</v>
      </c>
      <c r="D33" s="504"/>
      <c r="E33" s="504"/>
      <c r="F33" s="504"/>
      <c r="G33" s="504"/>
      <c r="H33" s="504"/>
      <c r="I33" s="524"/>
      <c r="J33" s="503" t="s">
        <v>105</v>
      </c>
      <c r="K33" s="504"/>
      <c r="L33" s="504"/>
      <c r="M33" s="504"/>
      <c r="N33" s="504"/>
      <c r="O33" s="504"/>
      <c r="P33" s="524"/>
      <c r="Q33" s="503" t="s">
        <v>103</v>
      </c>
      <c r="R33" s="504"/>
      <c r="S33" s="504"/>
      <c r="T33" s="504"/>
      <c r="U33" s="504"/>
      <c r="V33" s="504"/>
      <c r="W33" s="524"/>
    </row>
    <row r="34" spans="1:23" ht="17.45" customHeight="1" thickBot="1" x14ac:dyDescent="0.25">
      <c r="A34" s="535"/>
      <c r="B34" s="537"/>
      <c r="C34" s="532" t="s">
        <v>76</v>
      </c>
      <c r="D34" s="499" t="s">
        <v>77</v>
      </c>
      <c r="E34" s="500"/>
      <c r="F34" s="500"/>
      <c r="G34" s="500"/>
      <c r="H34" s="500"/>
      <c r="I34" s="501"/>
      <c r="J34" s="532" t="s">
        <v>76</v>
      </c>
      <c r="K34" s="499" t="s">
        <v>77</v>
      </c>
      <c r="L34" s="500"/>
      <c r="M34" s="500"/>
      <c r="N34" s="500"/>
      <c r="O34" s="500"/>
      <c r="P34" s="501"/>
      <c r="Q34" s="532" t="s">
        <v>76</v>
      </c>
      <c r="R34" s="499" t="s">
        <v>77</v>
      </c>
      <c r="S34" s="500"/>
      <c r="T34" s="500"/>
      <c r="U34" s="500"/>
      <c r="V34" s="500"/>
      <c r="W34" s="501"/>
    </row>
    <row r="35" spans="1:23" ht="12.75" customHeight="1" thickBot="1" x14ac:dyDescent="0.25">
      <c r="A35" s="533"/>
      <c r="B35" s="538"/>
      <c r="C35" s="533"/>
      <c r="D35" s="297">
        <v>2018</v>
      </c>
      <c r="E35" s="297">
        <v>2019</v>
      </c>
      <c r="F35" s="297">
        <v>2020</v>
      </c>
      <c r="G35" s="297">
        <v>2021</v>
      </c>
      <c r="H35" s="297">
        <v>2022</v>
      </c>
      <c r="I35" s="298">
        <v>2023</v>
      </c>
      <c r="J35" s="533"/>
      <c r="K35" s="35">
        <v>2018</v>
      </c>
      <c r="L35" s="35">
        <v>2019</v>
      </c>
      <c r="M35" s="35">
        <v>2020</v>
      </c>
      <c r="N35" s="35">
        <v>2021</v>
      </c>
      <c r="O35" s="35">
        <v>2022</v>
      </c>
      <c r="P35" s="82">
        <v>2023</v>
      </c>
      <c r="Q35" s="533"/>
      <c r="R35" s="35">
        <v>2018</v>
      </c>
      <c r="S35" s="35">
        <v>2019</v>
      </c>
      <c r="T35" s="35">
        <v>2020</v>
      </c>
      <c r="U35" s="35">
        <v>2021</v>
      </c>
      <c r="V35" s="35">
        <v>2022</v>
      </c>
      <c r="W35" s="136">
        <v>2023</v>
      </c>
    </row>
    <row r="36" spans="1:23" ht="12.75" customHeight="1" thickBot="1" x14ac:dyDescent="0.25">
      <c r="A36" s="36">
        <v>1</v>
      </c>
      <c r="B36" s="36">
        <v>2</v>
      </c>
      <c r="C36" s="83">
        <v>17</v>
      </c>
      <c r="D36" s="36">
        <v>18</v>
      </c>
      <c r="E36" s="36">
        <v>19</v>
      </c>
      <c r="F36" s="36">
        <v>20</v>
      </c>
      <c r="G36" s="36">
        <v>21</v>
      </c>
      <c r="H36" s="83">
        <v>22</v>
      </c>
      <c r="I36" s="83">
        <v>23</v>
      </c>
      <c r="J36" s="36">
        <v>24</v>
      </c>
      <c r="K36" s="36">
        <v>25</v>
      </c>
      <c r="L36" s="36">
        <v>26</v>
      </c>
      <c r="M36" s="83">
        <v>27</v>
      </c>
      <c r="N36" s="83">
        <v>28</v>
      </c>
      <c r="O36" s="83">
        <v>29</v>
      </c>
      <c r="P36" s="83">
        <v>30</v>
      </c>
      <c r="Q36" s="36">
        <v>31</v>
      </c>
      <c r="R36" s="36">
        <v>32</v>
      </c>
      <c r="S36" s="36">
        <v>33</v>
      </c>
      <c r="T36" s="36">
        <v>34</v>
      </c>
      <c r="U36" s="36">
        <v>35</v>
      </c>
      <c r="V36" s="36">
        <v>36</v>
      </c>
      <c r="W36" s="83">
        <v>37</v>
      </c>
    </row>
    <row r="37" spans="1:23" ht="12.75" hidden="1" customHeight="1" x14ac:dyDescent="0.2">
      <c r="A37" s="33" t="s">
        <v>90</v>
      </c>
      <c r="B37" s="34" t="s">
        <v>93</v>
      </c>
      <c r="C37" s="30"/>
      <c r="D37" s="31"/>
      <c r="E37" s="31"/>
      <c r="F37" s="31"/>
      <c r="G37" s="31"/>
      <c r="H37" s="29"/>
      <c r="I37" s="84"/>
      <c r="J37" s="32">
        <v>0</v>
      </c>
      <c r="K37" s="29">
        <v>0</v>
      </c>
      <c r="L37" s="29">
        <v>0</v>
      </c>
      <c r="M37" s="29"/>
      <c r="N37" s="29"/>
      <c r="O37" s="29">
        <v>0</v>
      </c>
      <c r="P37" s="84">
        <v>0</v>
      </c>
      <c r="Q37" s="30"/>
      <c r="R37" s="31"/>
      <c r="S37" s="31"/>
      <c r="T37" s="31"/>
      <c r="U37" s="31"/>
      <c r="V37" s="31"/>
      <c r="W37" s="137"/>
    </row>
    <row r="38" spans="1:23" ht="12.75" hidden="1" customHeight="1" x14ac:dyDescent="0.2">
      <c r="A38" s="27" t="s">
        <v>62</v>
      </c>
      <c r="B38" s="26" t="s">
        <v>94</v>
      </c>
      <c r="C38" s="28"/>
      <c r="D38" s="28"/>
      <c r="E38" s="28"/>
      <c r="F38" s="28"/>
      <c r="G38" s="28"/>
      <c r="H38" s="28"/>
      <c r="I38" s="28"/>
      <c r="J38" s="25">
        <v>0</v>
      </c>
      <c r="K38" s="24">
        <v>0</v>
      </c>
      <c r="L38" s="24">
        <v>0</v>
      </c>
      <c r="M38" s="24"/>
      <c r="N38" s="24"/>
      <c r="O38" s="24">
        <v>0</v>
      </c>
      <c r="P38" s="85">
        <v>0</v>
      </c>
      <c r="Q38" s="28"/>
      <c r="R38" s="23"/>
      <c r="S38" s="23"/>
      <c r="T38" s="23"/>
      <c r="U38" s="23"/>
      <c r="V38" s="23"/>
      <c r="W38" s="140"/>
    </row>
    <row r="39" spans="1:23" ht="12.75" hidden="1" customHeight="1" x14ac:dyDescent="0.2">
      <c r="A39" s="27" t="s">
        <v>64</v>
      </c>
      <c r="B39" s="26" t="s">
        <v>95</v>
      </c>
      <c r="C39" s="28"/>
      <c r="D39" s="28"/>
      <c r="E39" s="28"/>
      <c r="F39" s="28"/>
      <c r="G39" s="28"/>
      <c r="H39" s="28"/>
      <c r="I39" s="28"/>
      <c r="J39" s="25">
        <v>0</v>
      </c>
      <c r="K39" s="24">
        <v>0</v>
      </c>
      <c r="L39" s="24">
        <v>0</v>
      </c>
      <c r="M39" s="24"/>
      <c r="N39" s="24"/>
      <c r="O39" s="24">
        <v>0</v>
      </c>
      <c r="P39" s="85">
        <v>0</v>
      </c>
      <c r="Q39" s="28"/>
      <c r="R39" s="23"/>
      <c r="S39" s="23"/>
      <c r="T39" s="23"/>
      <c r="U39" s="23"/>
      <c r="V39" s="23"/>
      <c r="W39" s="140"/>
    </row>
    <row r="40" spans="1:23" x14ac:dyDescent="0.2">
      <c r="A40" s="27" t="s">
        <v>90</v>
      </c>
      <c r="B40" s="26" t="s">
        <v>96</v>
      </c>
      <c r="C40" s="28">
        <v>229.5</v>
      </c>
      <c r="D40" s="28">
        <v>229.5</v>
      </c>
      <c r="E40" s="28">
        <v>229.5</v>
      </c>
      <c r="F40" s="28">
        <v>229.5</v>
      </c>
      <c r="G40" s="28">
        <v>229.5</v>
      </c>
      <c r="H40" s="28">
        <v>229.5</v>
      </c>
      <c r="I40" s="28">
        <v>229.5</v>
      </c>
      <c r="J40" s="25">
        <v>2.6845514448346197</v>
      </c>
      <c r="K40" s="25">
        <v>2.6835590343238134</v>
      </c>
      <c r="L40" s="25">
        <v>2.6835590343238134</v>
      </c>
      <c r="M40" s="25">
        <v>2.6835590343238134</v>
      </c>
      <c r="N40" s="25">
        <v>2.6835590343238134</v>
      </c>
      <c r="O40" s="25">
        <v>2.6835590343238134</v>
      </c>
      <c r="P40" s="25">
        <v>2.6835590343238134</v>
      </c>
      <c r="Q40" s="138">
        <v>1325.49</v>
      </c>
      <c r="R40" s="138">
        <v>1325</v>
      </c>
      <c r="S40" s="138">
        <v>1325</v>
      </c>
      <c r="T40" s="138">
        <v>1325</v>
      </c>
      <c r="U40" s="138">
        <v>1325</v>
      </c>
      <c r="V40" s="138">
        <v>1325</v>
      </c>
      <c r="W40" s="139">
        <v>1325</v>
      </c>
    </row>
    <row r="41" spans="1:23" x14ac:dyDescent="0.2">
      <c r="A41" s="27" t="s">
        <v>59</v>
      </c>
      <c r="B41" s="26" t="s">
        <v>97</v>
      </c>
      <c r="C41" s="28">
        <v>273.89999999999998</v>
      </c>
      <c r="D41" s="28">
        <v>273.89999999999998</v>
      </c>
      <c r="E41" s="28">
        <v>273.89999999999998</v>
      </c>
      <c r="F41" s="28">
        <v>273.89999999999998</v>
      </c>
      <c r="G41" s="28">
        <v>273.89999999999998</v>
      </c>
      <c r="H41" s="28">
        <v>273.89999999999998</v>
      </c>
      <c r="I41" s="28">
        <v>273.89999999999998</v>
      </c>
      <c r="J41" s="25">
        <v>3.2810000000000001</v>
      </c>
      <c r="K41" s="25">
        <v>3.2810000000000001</v>
      </c>
      <c r="L41" s="25">
        <v>3.2810000000000001</v>
      </c>
      <c r="M41" s="25">
        <v>3.2810000000000001</v>
      </c>
      <c r="N41" s="25">
        <v>3.2810000000000001</v>
      </c>
      <c r="O41" s="25">
        <v>3.2810000000000001</v>
      </c>
      <c r="P41" s="25">
        <v>3.2810000000000001</v>
      </c>
      <c r="Q41" s="138">
        <v>4555.3999999999987</v>
      </c>
      <c r="R41" s="138">
        <v>4555.3999999999987</v>
      </c>
      <c r="S41" s="138">
        <v>4555.3999999999987</v>
      </c>
      <c r="T41" s="138">
        <v>4555.3999999999987</v>
      </c>
      <c r="U41" s="138">
        <v>4555.3999999999987</v>
      </c>
      <c r="V41" s="138">
        <v>4555.3999999999987</v>
      </c>
      <c r="W41" s="139">
        <v>4555.3999999999987</v>
      </c>
    </row>
    <row r="42" spans="1:23" ht="12.75" hidden="1" customHeight="1" x14ac:dyDescent="0.2">
      <c r="A42" s="27" t="s">
        <v>68</v>
      </c>
      <c r="B42" s="26" t="s">
        <v>98</v>
      </c>
      <c r="C42" s="28"/>
      <c r="D42" s="28"/>
      <c r="E42" s="28"/>
      <c r="F42" s="28"/>
      <c r="G42" s="28"/>
      <c r="H42" s="28"/>
      <c r="I42" s="28"/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8"/>
      <c r="R42" s="23"/>
      <c r="S42" s="23"/>
      <c r="T42" s="23"/>
      <c r="U42" s="23"/>
      <c r="V42" s="23"/>
      <c r="W42" s="140"/>
    </row>
    <row r="43" spans="1:23" ht="12.75" hidden="1" customHeight="1" x14ac:dyDescent="0.2">
      <c r="A43" s="27" t="s">
        <v>91</v>
      </c>
      <c r="B43" s="26" t="s">
        <v>99</v>
      </c>
      <c r="C43" s="28"/>
      <c r="D43" s="28"/>
      <c r="E43" s="28"/>
      <c r="F43" s="28"/>
      <c r="G43" s="28"/>
      <c r="H43" s="28"/>
      <c r="I43" s="28"/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8"/>
      <c r="R43" s="23"/>
      <c r="S43" s="23"/>
      <c r="T43" s="23"/>
      <c r="U43" s="23"/>
      <c r="V43" s="23"/>
      <c r="W43" s="140"/>
    </row>
    <row r="44" spans="1:23" ht="12.75" hidden="1" customHeight="1" x14ac:dyDescent="0.2">
      <c r="A44" s="27" t="s">
        <v>92</v>
      </c>
      <c r="B44" s="26" t="s">
        <v>100</v>
      </c>
      <c r="C44" s="28"/>
      <c r="D44" s="28"/>
      <c r="E44" s="28"/>
      <c r="F44" s="28"/>
      <c r="G44" s="28"/>
      <c r="H44" s="28"/>
      <c r="I44" s="28"/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8"/>
      <c r="R44" s="23"/>
      <c r="S44" s="23"/>
      <c r="T44" s="23"/>
      <c r="U44" s="23"/>
      <c r="V44" s="23"/>
      <c r="W44" s="140"/>
    </row>
    <row r="45" spans="1:23" ht="13.5" thickBot="1" x14ac:dyDescent="0.25">
      <c r="A45" s="37" t="s">
        <v>62</v>
      </c>
      <c r="B45" s="81" t="s">
        <v>101</v>
      </c>
      <c r="C45" s="221">
        <v>269.39999999999998</v>
      </c>
      <c r="D45" s="221">
        <v>269.39999999999998</v>
      </c>
      <c r="E45" s="221">
        <v>269.39999999999998</v>
      </c>
      <c r="F45" s="221">
        <v>269.39999999999998</v>
      </c>
      <c r="G45" s="221">
        <v>269.39999999999998</v>
      </c>
      <c r="H45" s="221">
        <v>269.39999999999998</v>
      </c>
      <c r="I45" s="221">
        <v>269.39999999999998</v>
      </c>
      <c r="J45" s="41">
        <v>3.1749999999999998</v>
      </c>
      <c r="K45" s="41">
        <v>3.1749999999999998</v>
      </c>
      <c r="L45" s="41">
        <v>3.1749999999999998</v>
      </c>
      <c r="M45" s="41">
        <v>3.1749999999999998</v>
      </c>
      <c r="N45" s="41">
        <v>3.1749999999999998</v>
      </c>
      <c r="O45" s="41">
        <v>3.1749999999999998</v>
      </c>
      <c r="P45" s="41">
        <v>3.1749999999999998</v>
      </c>
      <c r="Q45" s="224">
        <v>2153.556</v>
      </c>
      <c r="R45" s="224">
        <v>2149.5549999999998</v>
      </c>
      <c r="S45" s="224">
        <f>R45</f>
        <v>2149.5549999999998</v>
      </c>
      <c r="T45" s="224">
        <f t="shared" ref="T45:W45" si="0">S45</f>
        <v>2149.5549999999998</v>
      </c>
      <c r="U45" s="224">
        <f t="shared" si="0"/>
        <v>2149.5549999999998</v>
      </c>
      <c r="V45" s="224">
        <f t="shared" si="0"/>
        <v>2149.5549999999998</v>
      </c>
      <c r="W45" s="224">
        <f t="shared" si="0"/>
        <v>2149.5549999999998</v>
      </c>
    </row>
    <row r="47" spans="1:23" ht="4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146"/>
    </row>
    <row r="48" spans="1:23" x14ac:dyDescent="0.2">
      <c r="K48" s="475"/>
      <c r="L48" s="475"/>
      <c r="M48" s="475"/>
      <c r="N48" s="475"/>
      <c r="O48" s="475"/>
      <c r="P48" s="475"/>
      <c r="Q48" s="475"/>
      <c r="R48" s="475"/>
    </row>
    <row r="49" spans="1:3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</row>
    <row r="50" spans="1:37" x14ac:dyDescent="0.2">
      <c r="K50" s="475"/>
      <c r="L50" s="475"/>
      <c r="M50" s="475"/>
      <c r="N50" s="475"/>
      <c r="O50" s="475"/>
      <c r="P50" s="475"/>
      <c r="Q50" s="475"/>
      <c r="R50" s="475"/>
    </row>
    <row r="53" spans="1:37" s="2" customFormat="1" ht="12" x14ac:dyDescent="0.2"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146"/>
    </row>
    <row r="54" spans="1:37" s="3" customFormat="1" ht="12" x14ac:dyDescent="0.2">
      <c r="L54" s="475"/>
      <c r="M54" s="475"/>
      <c r="N54" s="475"/>
      <c r="O54" s="475"/>
      <c r="P54" s="475"/>
      <c r="Q54" s="475"/>
      <c r="R54" s="475"/>
      <c r="S54" s="475"/>
      <c r="T54" s="191"/>
      <c r="U54" s="191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</sheetData>
  <mergeCells count="51">
    <mergeCell ref="K50:R50"/>
    <mergeCell ref="L53:W53"/>
    <mergeCell ref="L54:S54"/>
    <mergeCell ref="L47:V47"/>
    <mergeCell ref="K48:R48"/>
    <mergeCell ref="L49:W49"/>
    <mergeCell ref="AL24:AR24"/>
    <mergeCell ref="AL25:AR25"/>
    <mergeCell ref="K27:S27"/>
    <mergeCell ref="K28:S28"/>
    <mergeCell ref="C34:C35"/>
    <mergeCell ref="D34:I34"/>
    <mergeCell ref="J34:J35"/>
    <mergeCell ref="K34:P34"/>
    <mergeCell ref="Q34:Q35"/>
    <mergeCell ref="A32:A35"/>
    <mergeCell ref="B32:B35"/>
    <mergeCell ref="C32:W32"/>
    <mergeCell ref="C33:I33"/>
    <mergeCell ref="J33:P33"/>
    <mergeCell ref="Q33:W33"/>
    <mergeCell ref="R34:W34"/>
    <mergeCell ref="AL23:AR23"/>
    <mergeCell ref="AE14:AE15"/>
    <mergeCell ref="AF14:AK14"/>
    <mergeCell ref="AL17:AR17"/>
    <mergeCell ref="AL18:AR18"/>
    <mergeCell ref="AL19:AR19"/>
    <mergeCell ref="AL20:AR20"/>
    <mergeCell ref="AL21:AR21"/>
    <mergeCell ref="AL22:AR22"/>
    <mergeCell ref="AL13:AR13"/>
    <mergeCell ref="C14:C15"/>
    <mergeCell ref="D14:I14"/>
    <mergeCell ref="J14:J15"/>
    <mergeCell ref="K14:P14"/>
    <mergeCell ref="Q14:Q15"/>
    <mergeCell ref="R14:W14"/>
    <mergeCell ref="X14:X15"/>
    <mergeCell ref="Y14:AD14"/>
    <mergeCell ref="A9:W9"/>
    <mergeCell ref="A10:W10"/>
    <mergeCell ref="A12:A15"/>
    <mergeCell ref="B12:B15"/>
    <mergeCell ref="C12:P12"/>
    <mergeCell ref="Q12:AK12"/>
    <mergeCell ref="C13:I13"/>
    <mergeCell ref="J13:P13"/>
    <mergeCell ref="Q13:W13"/>
    <mergeCell ref="X13:AD13"/>
    <mergeCell ref="AE13:AK13"/>
  </mergeCells>
  <pageMargins left="0.51181102362204722" right="0.35433070866141736" top="0.55118110236220474" bottom="0.27559055118110237" header="0.31496062992125984" footer="0.19685039370078741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</vt:i4>
      </vt:variant>
    </vt:vector>
  </HeadingPairs>
  <TitlesOfParts>
    <vt:vector size="31" baseType="lpstr">
      <vt:lpstr>Реестр</vt:lpstr>
      <vt:lpstr>Паспорт</vt:lpstr>
      <vt:lpstr>6.1-ИП ТС</vt:lpstr>
      <vt:lpstr>6.2-ИП ТС</vt:lpstr>
      <vt:lpstr>2 ИП ТС</vt:lpstr>
      <vt:lpstr>2 ИП ТС (2)</vt:lpstr>
      <vt:lpstr>3-ИП ТС</vt:lpstr>
      <vt:lpstr> 4 ИП ТС</vt:lpstr>
      <vt:lpstr>4-ИП ТС</vt:lpstr>
      <vt:lpstr>Финансовый план свод</vt:lpstr>
      <vt:lpstr>Тиличики</vt:lpstr>
      <vt:lpstr>Ачайваям</vt:lpstr>
      <vt:lpstr>Пахачи</vt:lpstr>
      <vt:lpstr>Хаилино</vt:lpstr>
      <vt:lpstr>'2 ИП ТС'!Заголовки_для_печати</vt:lpstr>
      <vt:lpstr>'2 ИП ТС (2)'!Заголовки_для_печати</vt:lpstr>
      <vt:lpstr>'3-ИП ТС'!Заголовки_для_печати</vt:lpstr>
      <vt:lpstr>'6.2-ИП ТС'!Заголовки_для_печати</vt:lpstr>
      <vt:lpstr>Реестр!Заголовки_для_печати</vt:lpstr>
      <vt:lpstr>' 4 ИП ТС'!Область_печати</vt:lpstr>
      <vt:lpstr>'2 ИП ТС'!Область_печати</vt:lpstr>
      <vt:lpstr>'2 ИП ТС (2)'!Область_печати</vt:lpstr>
      <vt:lpstr>'3-ИП ТС'!Область_печати</vt:lpstr>
      <vt:lpstr>'4-ИП ТС'!Область_печати</vt:lpstr>
      <vt:lpstr>Ачайваям!Область_печати</vt:lpstr>
      <vt:lpstr>Паспорт!Область_печати</vt:lpstr>
      <vt:lpstr>Пахачи!Область_печати</vt:lpstr>
      <vt:lpstr>Реестр!Область_печати</vt:lpstr>
      <vt:lpstr>Тиличики!Область_печати</vt:lpstr>
      <vt:lpstr>'Финансовый план свод'!Область_печати</vt:lpstr>
      <vt:lpstr>Хаилино!Область_печати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Зенькова Ульяна Владимировна</cp:lastModifiedBy>
  <cp:lastPrinted>2018-09-26T04:49:27Z</cp:lastPrinted>
  <dcterms:created xsi:type="dcterms:W3CDTF">2010-05-19T10:50:44Z</dcterms:created>
  <dcterms:modified xsi:type="dcterms:W3CDTF">2021-10-30T06:55:06Z</dcterms:modified>
</cp:coreProperties>
</file>